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colannino\Dropbox\Faber Burner Shared\Model Building\Examples\"/>
    </mc:Choice>
  </mc:AlternateContent>
  <xr:revisionPtr revIDLastSave="0" documentId="13_ncr:1_{545D9F19-E3F8-458D-9DEF-382981F2AB0F}" xr6:coauthVersionLast="47" xr6:coauthVersionMax="47" xr10:uidLastSave="{00000000-0000-0000-0000-000000000000}"/>
  <bookViews>
    <workbookView xWindow="-28920" yWindow="-120" windowWidth="29040" windowHeight="15720" xr2:uid="{7D75A85C-ACEA-4A23-8CBD-3383F9957306}"/>
  </bookViews>
  <sheets>
    <sheet name="14-1" sheetId="1" r:id="rId1"/>
  </sheets>
  <definedNames>
    <definedName name="a">'14-1'!$K$9:$K$13</definedName>
    <definedName name="a_y_hat">#REF!</definedName>
    <definedName name="a_yhat_0">#REF!</definedName>
    <definedName name="e_0">'14-1'!$N$18:$N$19</definedName>
    <definedName name="E_1">'14-1'!$P$17:$S$21</definedName>
    <definedName name="E_2">'14-1'!$O$16:$R$20</definedName>
    <definedName name="E_3">'14-1'!$N$15:$Q$19</definedName>
    <definedName name="E_4">'14-1'!$M$14:$P$18</definedName>
    <definedName name="h_max">'14-1'!$U$20</definedName>
    <definedName name="m">'14-1'!$J$14</definedName>
    <definedName name="m_CI">'14-1'!$V$2</definedName>
    <definedName name="m_PI">'14-1'!$W$2</definedName>
    <definedName name="MSR">'14-1'!$N$16</definedName>
    <definedName name="n">'14-1'!$J$15</definedName>
    <definedName name="N_1">'14-1'!$P$23:$S$23</definedName>
    <definedName name="N_2">#REF!</definedName>
    <definedName name="N_3">'14-1'!$P$29:$S$33</definedName>
    <definedName name="N_4">#REF!</definedName>
    <definedName name="N_j">'14-1'!#REF!</definedName>
    <definedName name="R_Squared">'14-1'!$Q$9</definedName>
    <definedName name="s">'14-1'!$P$15</definedName>
    <definedName name="SSM">'14-1'!$L$15</definedName>
    <definedName name="SST">'14-1'!$L$17</definedName>
    <definedName name="t_crit">'14-1'!$P$17</definedName>
    <definedName name="X">'14-1'!$D$3:$H$17</definedName>
    <definedName name="X_ŷ">#REF!</definedName>
    <definedName name="X_δ">#REF!</definedName>
    <definedName name="XTX">'14-1'!$J$3:$N$7</definedName>
    <definedName name="XTX_2">'14-1'!$F$23:$J$26</definedName>
    <definedName name="XTX_3">'14-1'!$F$27:$J$31</definedName>
    <definedName name="XTX_4">'14-1'!$F$32:$J$36</definedName>
    <definedName name="XTy">'14-1'!$J$9:$J$13</definedName>
    <definedName name="y_hat_star">'14-1'!$C$3:$C$17</definedName>
    <definedName name="y_i">#REF!</definedName>
    <definedName name="y_interest">#REF!</definedName>
    <definedName name="y_max">'14-1'!$B$22</definedName>
    <definedName name="y_min">'14-1'!$B$21</definedName>
    <definedName name="y_star">'14-1'!$B$3:$B$17</definedName>
    <definedName name="y_δ">#REF!</definedName>
    <definedName name="δ">'14-1'!#REF!</definedName>
    <definedName name="Δ_2">'14-1'!$K$23:$O$26</definedName>
    <definedName name="Δ_3">'14-1'!$K$27:$O$31</definedName>
    <definedName name="Δ_4">'14-1'!$K$32:$O$36</definedName>
    <definedName name="δ_interest">#REF!</definedName>
    <definedName name="Δ_j">'14-1'!$I$22:$M$22</definedName>
    <definedName name="Ξ">'14-1'!$P$10:$R$13</definedName>
  </definedNames>
  <calcPr calcId="191029"/>
</workbook>
</file>

<file path=xl/calcChain.xml><?xml version="1.0" encoding="utf-8"?>
<calcChain xmlns="http://schemas.openxmlformats.org/spreadsheetml/2006/main">
  <c r="AE23" i="1" l="1"/>
  <c r="AL23" i="1" s="1"/>
  <c r="L17" i="1" l="1"/>
  <c r="M17" i="1"/>
  <c r="H20" i="1"/>
  <c r="G20" i="1"/>
  <c r="F20" i="1"/>
  <c r="E20" i="1"/>
  <c r="D20" i="1"/>
  <c r="H19" i="1"/>
  <c r="G19" i="1"/>
  <c r="F19" i="1"/>
  <c r="E19" i="1"/>
  <c r="D19" i="1"/>
  <c r="B20" i="1"/>
  <c r="B19" i="1"/>
  <c r="H22" i="1"/>
  <c r="G22" i="1"/>
  <c r="F22" i="1"/>
  <c r="E22" i="1"/>
  <c r="D22" i="1"/>
  <c r="H21" i="1"/>
  <c r="G21" i="1"/>
  <c r="F21" i="1"/>
  <c r="E21" i="1"/>
  <c r="D21" i="1"/>
  <c r="B22" i="1"/>
  <c r="B21" i="1"/>
  <c r="K9" i="1" a="1"/>
  <c r="K9" i="1" s="1"/>
  <c r="J3" i="1" a="1"/>
  <c r="M3" i="1" s="1"/>
  <c r="J9" i="1" a="1"/>
  <c r="J9" i="1" s="1"/>
  <c r="J14" i="1"/>
  <c r="P17" i="1" l="1"/>
  <c r="M16" i="1"/>
  <c r="M15" i="1"/>
  <c r="N17" i="1"/>
  <c r="K13" i="1"/>
  <c r="K12" i="1"/>
  <c r="K11" i="1"/>
  <c r="K10" i="1"/>
  <c r="M6" i="1"/>
  <c r="L3" i="1"/>
  <c r="L6" i="1"/>
  <c r="K3" i="1"/>
  <c r="K6" i="1"/>
  <c r="J3" i="1"/>
  <c r="J6" i="1"/>
  <c r="M5" i="1"/>
  <c r="K5" i="1"/>
  <c r="N7" i="1"/>
  <c r="M7" i="1"/>
  <c r="L7" i="1"/>
  <c r="K7" i="1"/>
  <c r="J7" i="1"/>
  <c r="N3" i="1"/>
  <c r="N5" i="1"/>
  <c r="L5" i="1"/>
  <c r="J5" i="1"/>
  <c r="N4" i="1"/>
  <c r="M4" i="1"/>
  <c r="L4" i="1"/>
  <c r="K4" i="1"/>
  <c r="J4" i="1"/>
  <c r="N6" i="1"/>
  <c r="J12" i="1"/>
  <c r="J11" i="1"/>
  <c r="J13" i="1"/>
  <c r="J10" i="1"/>
  <c r="C3" i="1" l="1" a="1"/>
  <c r="C3" i="1" s="1"/>
  <c r="O3" i="1" a="1"/>
  <c r="T3" i="1" l="1"/>
  <c r="C16" i="1"/>
  <c r="C15" i="1"/>
  <c r="C13" i="1"/>
  <c r="C14" i="1"/>
  <c r="C12" i="1"/>
  <c r="C9" i="1"/>
  <c r="C11" i="1"/>
  <c r="C4" i="1"/>
  <c r="C10" i="1"/>
  <c r="C8" i="1"/>
  <c r="C6" i="1"/>
  <c r="C5" i="1"/>
  <c r="C17" i="1"/>
  <c r="C7" i="1"/>
  <c r="O5" i="1"/>
  <c r="R7" i="1"/>
  <c r="Q6" i="1"/>
  <c r="P4" i="1"/>
  <c r="P6" i="1"/>
  <c r="O4" i="1"/>
  <c r="O3" i="1"/>
  <c r="O7" i="1"/>
  <c r="S5" i="1"/>
  <c r="R3" i="1"/>
  <c r="R5" i="1"/>
  <c r="Q3" i="1"/>
  <c r="Q5" i="1"/>
  <c r="P3" i="1"/>
  <c r="P5" i="1"/>
  <c r="O6" i="1"/>
  <c r="S4" i="1"/>
  <c r="S7" i="1"/>
  <c r="P13" i="1" s="1"/>
  <c r="Q7" i="1"/>
  <c r="Q4" i="1"/>
  <c r="S3" i="1"/>
  <c r="S6" i="1"/>
  <c r="R4" i="1"/>
  <c r="R6" i="1"/>
  <c r="P12" i="1" s="1"/>
  <c r="P7" i="1"/>
  <c r="AE3" i="1" l="1"/>
  <c r="T11" i="1"/>
  <c r="T13" i="1"/>
  <c r="T9" i="1"/>
  <c r="T10" i="1"/>
  <c r="L15" i="1"/>
  <c r="Q9" i="1" s="1"/>
  <c r="T12" i="1"/>
  <c r="T6" i="1"/>
  <c r="T8" i="1"/>
  <c r="U8" i="1" a="1"/>
  <c r="U8" i="1" s="1"/>
  <c r="U16" i="1" a="1"/>
  <c r="U16" i="1" s="1"/>
  <c r="U5" i="1" a="1"/>
  <c r="U5" i="1" s="1"/>
  <c r="U13" i="1" a="1"/>
  <c r="U13" i="1" s="1"/>
  <c r="U7" i="1" a="1"/>
  <c r="U7" i="1" s="1"/>
  <c r="U15" i="1" a="1"/>
  <c r="U15" i="1" s="1"/>
  <c r="U6" i="1" a="1"/>
  <c r="U6" i="1" s="1"/>
  <c r="U4" i="1" a="1"/>
  <c r="U4" i="1" s="1"/>
  <c r="U12" i="1" a="1"/>
  <c r="U12" i="1" s="1"/>
  <c r="U3" i="1" a="1"/>
  <c r="U3" i="1" s="1"/>
  <c r="U11" i="1" a="1"/>
  <c r="U11" i="1" s="1"/>
  <c r="U10" i="1" a="1"/>
  <c r="U10" i="1" s="1"/>
  <c r="U17" i="1" a="1"/>
  <c r="U17" i="1" s="1"/>
  <c r="U9" i="1" a="1"/>
  <c r="U9" i="1" s="1"/>
  <c r="U14" i="1" a="1"/>
  <c r="U14" i="1" s="1"/>
  <c r="T14" i="1"/>
  <c r="T17" i="1"/>
  <c r="T5" i="1"/>
  <c r="T7" i="1"/>
  <c r="T4" i="1"/>
  <c r="T15" i="1"/>
  <c r="T16" i="1"/>
  <c r="C19" i="1"/>
  <c r="C20" i="1"/>
  <c r="P11" i="1"/>
  <c r="C21" i="1"/>
  <c r="C22" i="1"/>
  <c r="P10" i="1"/>
  <c r="AE4" i="1" l="1"/>
  <c r="AL3" i="1"/>
  <c r="V7" i="1"/>
  <c r="V13" i="1"/>
  <c r="V5" i="1"/>
  <c r="V16" i="1"/>
  <c r="V14" i="1"/>
  <c r="V9" i="1"/>
  <c r="V17" i="1"/>
  <c r="V8" i="1"/>
  <c r="V10" i="1"/>
  <c r="V11" i="1"/>
  <c r="V12" i="1"/>
  <c r="V4" i="1"/>
  <c r="V6" i="1"/>
  <c r="V15" i="1"/>
  <c r="W9" i="1"/>
  <c r="W10" i="1"/>
  <c r="W8" i="1"/>
  <c r="W15" i="1"/>
  <c r="W5" i="1"/>
  <c r="W6" i="1"/>
  <c r="V3" i="1"/>
  <c r="W3" i="1"/>
  <c r="W4" i="1"/>
  <c r="W13" i="1"/>
  <c r="W16" i="1"/>
  <c r="W12" i="1"/>
  <c r="W14" i="1"/>
  <c r="W7" i="1"/>
  <c r="W11" i="1"/>
  <c r="W17" i="1"/>
  <c r="N15" i="1"/>
  <c r="L16" i="1"/>
  <c r="AL4" i="1" l="1"/>
  <c r="AE5" i="1"/>
  <c r="V2" i="1"/>
  <c r="W2" i="1"/>
  <c r="N16" i="1"/>
  <c r="P15" i="1" s="1"/>
  <c r="AG5" i="1" l="1"/>
  <c r="AG3" i="1"/>
  <c r="AG4" i="1"/>
  <c r="AG23" i="1"/>
  <c r="AJ5" i="1"/>
  <c r="AL5" i="1"/>
  <c r="AK5" i="1"/>
  <c r="AE6" i="1"/>
  <c r="AN5" i="1"/>
  <c r="AR5" i="1" s="1"/>
  <c r="AM23" i="1"/>
  <c r="AM5" i="1"/>
  <c r="AP5" i="1" s="1"/>
  <c r="AN23" i="1"/>
  <c r="AN4" i="1"/>
  <c r="AN3" i="1"/>
  <c r="AM3" i="1"/>
  <c r="AM4" i="1"/>
  <c r="AF3" i="1"/>
  <c r="AF23" i="1"/>
  <c r="AF4" i="1"/>
  <c r="AF5" i="1"/>
  <c r="AI5" i="1" s="1"/>
  <c r="Y13" i="1"/>
  <c r="X4" i="1"/>
  <c r="X13" i="1"/>
  <c r="Y6" i="1"/>
  <c r="Y15" i="1"/>
  <c r="X6" i="1"/>
  <c r="X15" i="1"/>
  <c r="Y8" i="1"/>
  <c r="Y17" i="1"/>
  <c r="X8" i="1"/>
  <c r="X17" i="1"/>
  <c r="Y10" i="1"/>
  <c r="X10" i="1"/>
  <c r="Y3" i="1"/>
  <c r="Y12" i="1"/>
  <c r="X3" i="1"/>
  <c r="X12" i="1"/>
  <c r="Y5" i="1"/>
  <c r="Y14" i="1"/>
  <c r="X5" i="1"/>
  <c r="X14" i="1"/>
  <c r="Y7" i="1"/>
  <c r="Y16" i="1"/>
  <c r="X7" i="1"/>
  <c r="X16" i="1"/>
  <c r="Y9" i="1"/>
  <c r="X11" i="1"/>
  <c r="Y4" i="1"/>
  <c r="Y11" i="1"/>
  <c r="X9" i="1"/>
  <c r="L9" i="1"/>
  <c r="M9" i="1" s="1"/>
  <c r="N9" i="1" s="1"/>
  <c r="O9" i="1" s="1"/>
  <c r="O15" i="1"/>
  <c r="O17" i="1" s="1"/>
  <c r="L13" i="1"/>
  <c r="M13" i="1" s="1"/>
  <c r="N13" i="1" s="1"/>
  <c r="O13" i="1" s="1"/>
  <c r="L11" i="1"/>
  <c r="M11" i="1" s="1"/>
  <c r="N11" i="1" s="1"/>
  <c r="O11" i="1" s="1"/>
  <c r="L12" i="1"/>
  <c r="M12" i="1" s="1"/>
  <c r="N12" i="1" s="1"/>
  <c r="O12" i="1" s="1"/>
  <c r="L10" i="1"/>
  <c r="M10" i="1" s="1"/>
  <c r="N10" i="1" s="1"/>
  <c r="O10" i="1" s="1"/>
  <c r="AO5" i="1" l="1"/>
  <c r="AQ5" i="1"/>
  <c r="AR23" i="1"/>
  <c r="AQ23" i="1"/>
  <c r="AL6" i="1"/>
  <c r="AI6" i="1"/>
  <c r="AR6" i="1"/>
  <c r="AQ6" i="1"/>
  <c r="AH6" i="1"/>
  <c r="AE7" i="1"/>
  <c r="AI3" i="1"/>
  <c r="AH3" i="1"/>
  <c r="AG6" i="1"/>
  <c r="AJ6" i="1" s="1"/>
  <c r="AQ3" i="1"/>
  <c r="AR3" i="1"/>
  <c r="AH4" i="1"/>
  <c r="AI4" i="1"/>
  <c r="AH5" i="1"/>
  <c r="AJ3" i="1"/>
  <c r="AK3" i="1"/>
  <c r="AR4" i="1"/>
  <c r="AQ4" i="1"/>
  <c r="AM6" i="1"/>
  <c r="AP6" i="1" s="1"/>
  <c r="AJ4" i="1"/>
  <c r="AK4" i="1"/>
  <c r="AO23" i="1"/>
  <c r="AP23" i="1"/>
  <c r="AO4" i="1"/>
  <c r="AP4" i="1"/>
  <c r="AP3" i="1"/>
  <c r="AO3" i="1"/>
  <c r="AH23" i="1"/>
  <c r="AI23" i="1"/>
  <c r="AF6" i="1"/>
  <c r="AN6" i="1"/>
  <c r="AJ23" i="1"/>
  <c r="AK23" i="1"/>
  <c r="Z10" i="1"/>
  <c r="AA10" i="1"/>
  <c r="AB3" i="1"/>
  <c r="AC3" i="1"/>
  <c r="AC4" i="1"/>
  <c r="AB4" i="1"/>
  <c r="AB10" i="1"/>
  <c r="AC10" i="1"/>
  <c r="AA17" i="1"/>
  <c r="Z17" i="1"/>
  <c r="AA9" i="1"/>
  <c r="Z9" i="1"/>
  <c r="AC9" i="1"/>
  <c r="AB9" i="1"/>
  <c r="Z8" i="1"/>
  <c r="AA8" i="1"/>
  <c r="Z3" i="1"/>
  <c r="AA3" i="1"/>
  <c r="Z6" i="1"/>
  <c r="AA6" i="1"/>
  <c r="Z11" i="1"/>
  <c r="AA11" i="1"/>
  <c r="Z16" i="1"/>
  <c r="AA16" i="1"/>
  <c r="AA7" i="1"/>
  <c r="Z7" i="1"/>
  <c r="AA15" i="1"/>
  <c r="Z15" i="1"/>
  <c r="AC6" i="1"/>
  <c r="AB6" i="1"/>
  <c r="AC17" i="1"/>
  <c r="AB17" i="1"/>
  <c r="AC8" i="1"/>
  <c r="AB8" i="1"/>
  <c r="AC16" i="1"/>
  <c r="AB16" i="1"/>
  <c r="AC7" i="1"/>
  <c r="AB7" i="1"/>
  <c r="AA14" i="1"/>
  <c r="Z14" i="1"/>
  <c r="AC15" i="1"/>
  <c r="AB15" i="1"/>
  <c r="AC5" i="1"/>
  <c r="AB5" i="1"/>
  <c r="Z4" i="1"/>
  <c r="AA4" i="1"/>
  <c r="AB12" i="1"/>
  <c r="AC12" i="1"/>
  <c r="AC11" i="1"/>
  <c r="AB11" i="1"/>
  <c r="Z5" i="1"/>
  <c r="AA5" i="1"/>
  <c r="AC14" i="1"/>
  <c r="AB14" i="1"/>
  <c r="Z13" i="1"/>
  <c r="AA13" i="1"/>
  <c r="Z12" i="1"/>
  <c r="AA12" i="1"/>
  <c r="AB13" i="1"/>
  <c r="AC13" i="1"/>
  <c r="AL7" i="1" l="1"/>
  <c r="AE8" i="1"/>
  <c r="AG7" i="1"/>
  <c r="AJ7" i="1" s="1"/>
  <c r="AM7" i="1"/>
  <c r="AP7" i="1" s="1"/>
  <c r="AF7" i="1"/>
  <c r="AI7" i="1" s="1"/>
  <c r="AN7" i="1"/>
  <c r="AR7" i="1" s="1"/>
  <c r="AK6" i="1"/>
  <c r="AO6" i="1"/>
  <c r="AL8" i="1" l="1"/>
  <c r="AE9" i="1"/>
  <c r="AF8" i="1"/>
  <c r="AH8" i="1" s="1"/>
  <c r="AM8" i="1"/>
  <c r="AO8" i="1" s="1"/>
  <c r="AN8" i="1"/>
  <c r="AR8" i="1" s="1"/>
  <c r="AG8" i="1"/>
  <c r="AK8" i="1" s="1"/>
  <c r="AH7" i="1"/>
  <c r="AO7" i="1"/>
  <c r="AK7" i="1"/>
  <c r="AQ7" i="1"/>
  <c r="AL9" i="1" l="1"/>
  <c r="AE10" i="1"/>
  <c r="AG9" i="1"/>
  <c r="AJ9" i="1" s="1"/>
  <c r="AN9" i="1"/>
  <c r="AR9" i="1" s="1"/>
  <c r="AM9" i="1"/>
  <c r="AP9" i="1" s="1"/>
  <c r="AF9" i="1"/>
  <c r="AH9" i="1" s="1"/>
  <c r="AI8" i="1"/>
  <c r="AJ8" i="1"/>
  <c r="AQ8" i="1"/>
  <c r="AP8" i="1"/>
  <c r="AI9" i="1" l="1"/>
  <c r="AK9" i="1"/>
  <c r="AO9" i="1"/>
  <c r="AL10" i="1"/>
  <c r="AE11" i="1"/>
  <c r="AM10" i="1"/>
  <c r="AO10" i="1" s="1"/>
  <c r="AG10" i="1"/>
  <c r="AJ10" i="1" s="1"/>
  <c r="AN10" i="1"/>
  <c r="AQ10" i="1" s="1"/>
  <c r="AF10" i="1"/>
  <c r="AH10" i="1" s="1"/>
  <c r="AQ9" i="1"/>
  <c r="AI10" i="1" l="1"/>
  <c r="AK10" i="1"/>
  <c r="AP10" i="1"/>
  <c r="AR10" i="1"/>
  <c r="AL11" i="1"/>
  <c r="AE12" i="1"/>
  <c r="AF11" i="1"/>
  <c r="AI11" i="1" s="1"/>
  <c r="AN11" i="1"/>
  <c r="AR11" i="1" s="1"/>
  <c r="AG11" i="1"/>
  <c r="AJ11" i="1" s="1"/>
  <c r="AM11" i="1"/>
  <c r="AO11" i="1" s="1"/>
  <c r="AP11" i="1" l="1"/>
  <c r="AL12" i="1"/>
  <c r="AE13" i="1"/>
  <c r="AG12" i="1"/>
  <c r="AK12" i="1" s="1"/>
  <c r="AM12" i="1"/>
  <c r="AO12" i="1" s="1"/>
  <c r="AN12" i="1"/>
  <c r="AQ12" i="1" s="1"/>
  <c r="AF12" i="1"/>
  <c r="AI12" i="1" s="1"/>
  <c r="AQ11" i="1"/>
  <c r="AH11" i="1"/>
  <c r="AK11" i="1"/>
  <c r="AP12" i="1" l="1"/>
  <c r="AR12" i="1"/>
  <c r="AH12" i="1"/>
  <c r="AL13" i="1"/>
  <c r="AE14" i="1"/>
  <c r="AN13" i="1"/>
  <c r="AQ13" i="1" s="1"/>
  <c r="AG13" i="1"/>
  <c r="AJ13" i="1" s="1"/>
  <c r="AM13" i="1"/>
  <c r="AP13" i="1" s="1"/>
  <c r="AF13" i="1"/>
  <c r="AH13" i="1" s="1"/>
  <c r="AJ12" i="1"/>
  <c r="AI13" i="1" l="1"/>
  <c r="AL14" i="1"/>
  <c r="AE15" i="1"/>
  <c r="AF14" i="1"/>
  <c r="AH14" i="1" s="1"/>
  <c r="AG14" i="1"/>
  <c r="AJ14" i="1" s="1"/>
  <c r="AN14" i="1"/>
  <c r="AQ14" i="1" s="1"/>
  <c r="AM14" i="1"/>
  <c r="AP14" i="1" s="1"/>
  <c r="AO13" i="1"/>
  <c r="AR13" i="1"/>
  <c r="AK13" i="1"/>
  <c r="AR14" i="1" l="1"/>
  <c r="AK14" i="1"/>
  <c r="AL15" i="1"/>
  <c r="AE16" i="1"/>
  <c r="AN15" i="1"/>
  <c r="AR15" i="1" s="1"/>
  <c r="AF15" i="1"/>
  <c r="AI15" i="1" s="1"/>
  <c r="AG15" i="1"/>
  <c r="AJ15" i="1" s="1"/>
  <c r="AM15" i="1"/>
  <c r="AP15" i="1" s="1"/>
  <c r="AI14" i="1"/>
  <c r="AO14" i="1"/>
  <c r="AL16" i="1" l="1"/>
  <c r="AE17" i="1"/>
  <c r="AN16" i="1"/>
  <c r="AR16" i="1" s="1"/>
  <c r="AF16" i="1"/>
  <c r="AI16" i="1" s="1"/>
  <c r="AM16" i="1"/>
  <c r="AP16" i="1" s="1"/>
  <c r="AG16" i="1"/>
  <c r="AK16" i="1" s="1"/>
  <c r="AK15" i="1"/>
  <c r="AH15" i="1"/>
  <c r="AO15" i="1"/>
  <c r="AQ15" i="1"/>
  <c r="AQ16" i="1" l="1"/>
  <c r="AL17" i="1"/>
  <c r="AE18" i="1"/>
  <c r="AN17" i="1"/>
  <c r="AR17" i="1" s="1"/>
  <c r="AG17" i="1"/>
  <c r="AK17" i="1" s="1"/>
  <c r="AM17" i="1"/>
  <c r="AO17" i="1" s="1"/>
  <c r="AF17" i="1"/>
  <c r="AH17" i="1" s="1"/>
  <c r="AH16" i="1"/>
  <c r="AJ16" i="1"/>
  <c r="AO16" i="1"/>
  <c r="AL18" i="1" l="1"/>
  <c r="AE19" i="1"/>
  <c r="AM18" i="1"/>
  <c r="AO18" i="1" s="1"/>
  <c r="AG18" i="1"/>
  <c r="AK18" i="1" s="1"/>
  <c r="AN18" i="1"/>
  <c r="AR18" i="1" s="1"/>
  <c r="AF18" i="1"/>
  <c r="AH18" i="1" s="1"/>
  <c r="AI17" i="1"/>
  <c r="AJ17" i="1"/>
  <c r="AP17" i="1"/>
  <c r="AQ17" i="1"/>
  <c r="AL19" i="1" l="1"/>
  <c r="AE20" i="1"/>
  <c r="AG19" i="1"/>
  <c r="AJ19" i="1" s="1"/>
  <c r="AF19" i="1"/>
  <c r="AI19" i="1" s="1"/>
  <c r="AM19" i="1"/>
  <c r="AP19" i="1" s="1"/>
  <c r="AN19" i="1"/>
  <c r="AR19" i="1" s="1"/>
  <c r="AJ18" i="1"/>
  <c r="AP18" i="1"/>
  <c r="AQ18" i="1"/>
  <c r="AI18" i="1"/>
  <c r="AO19" i="1" l="1"/>
  <c r="AK19" i="1"/>
  <c r="AH19" i="1"/>
  <c r="AL20" i="1"/>
  <c r="AE21" i="1"/>
  <c r="AG20" i="1"/>
  <c r="AK20" i="1" s="1"/>
  <c r="AM20" i="1"/>
  <c r="AO20" i="1" s="1"/>
  <c r="AN20" i="1"/>
  <c r="AQ20" i="1" s="1"/>
  <c r="AF20" i="1"/>
  <c r="AI20" i="1" s="1"/>
  <c r="AQ19" i="1"/>
  <c r="AH20" i="1" l="1"/>
  <c r="AL21" i="1"/>
  <c r="AE22" i="1"/>
  <c r="AN21" i="1"/>
  <c r="AQ21" i="1" s="1"/>
  <c r="AM21" i="1"/>
  <c r="AO21" i="1" s="1"/>
  <c r="AG21" i="1"/>
  <c r="AK21" i="1" s="1"/>
  <c r="AF21" i="1"/>
  <c r="AI21" i="1" s="1"/>
  <c r="AP20" i="1"/>
  <c r="AR20" i="1"/>
  <c r="AJ20" i="1"/>
  <c r="AP21" i="1" l="1"/>
  <c r="AJ21" i="1"/>
  <c r="AL22" i="1"/>
  <c r="AN22" i="1"/>
  <c r="AQ22" i="1" s="1"/>
  <c r="AF22" i="1"/>
  <c r="AI22" i="1" s="1"/>
  <c r="AG22" i="1"/>
  <c r="AK22" i="1" s="1"/>
  <c r="AM22" i="1"/>
  <c r="AP22" i="1" s="1"/>
  <c r="AR21" i="1"/>
  <c r="AH21" i="1"/>
  <c r="AR22" i="1" l="1"/>
  <c r="AJ22" i="1"/>
  <c r="AO22" i="1"/>
  <c r="AH22" i="1"/>
</calcChain>
</file>

<file path=xl/sharedStrings.xml><?xml version="1.0" encoding="utf-8"?>
<sst xmlns="http://schemas.openxmlformats.org/spreadsheetml/2006/main" count="57" uniqueCount="49">
  <si>
    <t>#</t>
  </si>
  <si>
    <t>n =</t>
  </si>
  <si>
    <t>m =</t>
  </si>
  <si>
    <t>Term</t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</si>
  <si>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y</t>
    </r>
  </si>
  <si>
    <t>y*</t>
  </si>
  <si>
    <t>X* Matrix</t>
  </si>
  <si>
    <r>
      <t>X*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X*/(</t>
    </r>
    <r>
      <rPr>
        <b/>
        <i/>
        <sz val="12"/>
        <color theme="1"/>
        <rFont val="Times New Roman"/>
        <family val="1"/>
      </rPr>
      <t>n</t>
    </r>
    <r>
      <rPr>
        <b/>
        <sz val="12"/>
        <color theme="1"/>
        <rFont val="Times New Roman"/>
        <family val="1"/>
      </rPr>
      <t>-1), Correlation Form</t>
    </r>
  </si>
  <si>
    <r>
      <t>(</t>
    </r>
    <r>
      <rPr>
        <b/>
        <i/>
        <sz val="12"/>
        <color theme="1"/>
        <rFont val="Times New Roman"/>
        <family val="1"/>
      </rPr>
      <t>n</t>
    </r>
    <r>
      <rPr>
        <b/>
        <sz val="12"/>
        <color theme="1"/>
        <rFont val="Times New Roman"/>
        <family val="1"/>
      </rPr>
      <t>-1)(X*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X*)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, VIF Form</t>
    </r>
  </si>
  <si>
    <t>ŷ*</t>
  </si>
  <si>
    <t>ε*</t>
  </si>
  <si>
    <r>
      <t>h</t>
    </r>
    <r>
      <rPr>
        <b/>
        <i/>
        <vertAlign val="subscript"/>
        <sz val="12"/>
        <color theme="1"/>
        <rFont val="Times New Roman"/>
        <family val="1"/>
      </rPr>
      <t>kk</t>
    </r>
  </si>
  <si>
    <r>
      <t>R</t>
    </r>
    <r>
      <rPr>
        <b/>
        <i/>
        <vertAlign val="subscript"/>
        <sz val="12"/>
        <color theme="1"/>
        <rFont val="Times New Roman"/>
        <family val="1"/>
      </rPr>
      <t>j</t>
    </r>
    <r>
      <rPr>
        <b/>
        <i/>
        <vertAlign val="superscript"/>
        <sz val="12"/>
        <color theme="1"/>
        <rFont val="Times New Roman"/>
        <family val="1"/>
      </rPr>
      <t>2</t>
    </r>
  </si>
  <si>
    <t>β</t>
  </si>
  <si>
    <t>ANOVA</t>
  </si>
  <si>
    <t>M</t>
  </si>
  <si>
    <t>R</t>
  </si>
  <si>
    <t>T</t>
  </si>
  <si>
    <t>SS</t>
  </si>
  <si>
    <t>MS</t>
  </si>
  <si>
    <t>DF</t>
  </si>
  <si>
    <t>f</t>
  </si>
  <si>
    <t>p</t>
  </si>
  <si>
    <t>t</t>
  </si>
  <si>
    <r>
      <t>s</t>
    </r>
    <r>
      <rPr>
        <b/>
        <vertAlign val="subscript"/>
        <sz val="12"/>
        <color theme="1"/>
        <rFont val="Times New Roman"/>
        <family val="1"/>
      </rPr>
      <t>β</t>
    </r>
  </si>
  <si>
    <r>
      <t>p</t>
    </r>
    <r>
      <rPr>
        <b/>
        <vertAlign val="subscript"/>
        <sz val="12"/>
        <color theme="1"/>
        <rFont val="Times New Roman"/>
        <family val="1"/>
      </rPr>
      <t>I</t>
    </r>
  </si>
  <si>
    <r>
      <t>1 - p</t>
    </r>
    <r>
      <rPr>
        <b/>
        <vertAlign val="subscript"/>
        <sz val="12"/>
        <color theme="1"/>
        <rFont val="Times New Roman"/>
        <family val="1"/>
      </rPr>
      <t>I</t>
    </r>
  </si>
  <si>
    <t>s</t>
  </si>
  <si>
    <t>CI</t>
  </si>
  <si>
    <t>PI</t>
  </si>
  <si>
    <t>UCL</t>
  </si>
  <si>
    <t>LCL</t>
  </si>
  <si>
    <t>LPL</t>
  </si>
  <si>
    <t>UPL</t>
  </si>
  <si>
    <t>Min</t>
  </si>
  <si>
    <t>Max</t>
  </si>
  <si>
    <t>Mean</t>
  </si>
  <si>
    <t>Stdev</t>
  </si>
  <si>
    <r>
      <t>m</t>
    </r>
    <r>
      <rPr>
        <b/>
        <i/>
        <vertAlign val="subscript"/>
        <sz val="12"/>
        <color theme="1"/>
        <rFont val="Times New Roman"/>
        <family val="1"/>
      </rPr>
      <t>CI</t>
    </r>
  </si>
  <si>
    <r>
      <t>m</t>
    </r>
    <r>
      <rPr>
        <b/>
        <i/>
        <vertAlign val="subscript"/>
        <sz val="12"/>
        <color theme="1"/>
        <rFont val="Times New Roman"/>
        <family val="1"/>
      </rPr>
      <t>PI</t>
    </r>
  </si>
  <si>
    <r>
      <t>t</t>
    </r>
    <r>
      <rPr>
        <b/>
        <vertAlign val="subscript"/>
        <sz val="12"/>
        <color theme="1"/>
        <rFont val="Times New Roman"/>
        <family val="1"/>
      </rPr>
      <t>crit</t>
    </r>
  </si>
  <si>
    <r>
      <t>h</t>
    </r>
    <r>
      <rPr>
        <b/>
        <i/>
        <vertAlign val="subscript"/>
        <sz val="14"/>
        <color theme="1"/>
        <rFont val="Times New Roman"/>
        <family val="1"/>
      </rPr>
      <t>y</t>
    </r>
    <r>
      <rPr>
        <b/>
        <i/>
        <vertAlign val="subscript"/>
        <sz val="14"/>
        <color theme="1"/>
        <rFont val="Calibri"/>
        <family val="2"/>
      </rPr>
      <t>̂</t>
    </r>
  </si>
  <si>
    <r>
      <t>CI</t>
    </r>
    <r>
      <rPr>
        <b/>
        <vertAlign val="subscript"/>
        <sz val="12"/>
        <color theme="1"/>
        <rFont val="Times New Roman"/>
        <family val="1"/>
      </rPr>
      <t>y</t>
    </r>
  </si>
  <si>
    <r>
      <t>PI</t>
    </r>
    <r>
      <rPr>
        <b/>
        <vertAlign val="subscript"/>
        <sz val="12"/>
        <color theme="1"/>
        <rFont val="Times New Roman"/>
        <family val="1"/>
      </rPr>
      <t>y</t>
    </r>
  </si>
  <si>
    <r>
      <t>LCL</t>
    </r>
    <r>
      <rPr>
        <b/>
        <vertAlign val="subscript"/>
        <sz val="12"/>
        <color theme="1"/>
        <rFont val="Times New Roman"/>
        <family val="1"/>
      </rPr>
      <t>y</t>
    </r>
  </si>
  <si>
    <r>
      <t>UCL</t>
    </r>
    <r>
      <rPr>
        <b/>
        <vertAlign val="subscript"/>
        <sz val="12"/>
        <color theme="1"/>
        <rFont val="Times New Roman"/>
        <family val="1"/>
      </rPr>
      <t>y</t>
    </r>
  </si>
  <si>
    <r>
      <t>LPL</t>
    </r>
    <r>
      <rPr>
        <b/>
        <vertAlign val="subscript"/>
        <sz val="12"/>
        <color theme="1"/>
        <rFont val="Times New Roman"/>
        <family val="1"/>
      </rPr>
      <t>y</t>
    </r>
  </si>
  <si>
    <r>
      <t>UPL</t>
    </r>
    <r>
      <rPr>
        <b/>
        <vertAlign val="subscript"/>
        <sz val="12"/>
        <color theme="1"/>
        <rFont val="Times New Roman"/>
        <family val="1"/>
      </rPr>
      <t>y</t>
    </r>
  </si>
  <si>
    <r>
      <t>R</t>
    </r>
    <r>
      <rPr>
        <b/>
        <vertAlign val="superscript"/>
        <sz val="12"/>
        <color theme="1"/>
        <rFont val="Times New Roman"/>
        <family val="1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</si>
</sst>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"/>
    <numFmt numFmtId="166" formatCode="0.E+00"/>
  </numFmts>
  <fonts count="17" x14ac:knownFonts="1">
    <font>
      <sz val="14"/>
      <color theme="1"/>
      <name val="Garamond"/>
      <family val="2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b/>
      <i/>
      <vertAlign val="subscript"/>
      <sz val="12"/>
      <color theme="1"/>
      <name val="Times New Roman"/>
      <family val="1"/>
    </font>
    <font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i/>
      <vertAlign val="superscript"/>
      <sz val="12"/>
      <color theme="1"/>
      <name val="Times New Roman"/>
      <family val="1"/>
    </font>
    <font>
      <sz val="12"/>
      <color theme="1"/>
      <name val="Garamond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i/>
      <sz val="14"/>
      <color theme="1"/>
      <name val="Times New Roman"/>
      <family val="1"/>
    </font>
    <font>
      <b/>
      <i/>
      <vertAlign val="subscript"/>
      <sz val="14"/>
      <color theme="1"/>
      <name val="Times New Roman"/>
      <family val="1"/>
    </font>
    <font>
      <b/>
      <i/>
      <vertAlign val="subscript"/>
      <sz val="14"/>
      <color theme="1"/>
      <name val="Calibri"/>
      <family val="2"/>
    </font>
    <font>
      <i/>
      <sz val="14"/>
      <color theme="1"/>
      <name val="Times New Roman"/>
      <family val="1"/>
    </font>
    <font>
      <sz val="36"/>
      <color rgb="FF40404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DE0F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D7FF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EBE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4" fillId="0" borderId="0" xfId="0" applyFont="1"/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/>
    </xf>
    <xf numFmtId="165" fontId="4" fillId="4" borderId="3" xfId="0" applyNumberFormat="1" applyFont="1" applyFill="1" applyBorder="1" applyAlignment="1">
      <alignment horizontal="right"/>
    </xf>
    <xf numFmtId="0" fontId="4" fillId="2" borderId="3" xfId="0" applyFont="1" applyFill="1" applyBorder="1" applyAlignment="1">
      <alignment horizontal="center"/>
    </xf>
    <xf numFmtId="165" fontId="4" fillId="2" borderId="4" xfId="0" applyNumberFormat="1" applyFont="1" applyFill="1" applyBorder="1"/>
    <xf numFmtId="165" fontId="4" fillId="2" borderId="5" xfId="0" applyNumberFormat="1" applyFont="1" applyFill="1" applyBorder="1"/>
    <xf numFmtId="0" fontId="1" fillId="7" borderId="11" xfId="0" applyFont="1" applyFill="1" applyBorder="1" applyAlignment="1">
      <alignment horizontal="center"/>
    </xf>
    <xf numFmtId="165" fontId="4" fillId="4" borderId="6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/>
    </xf>
    <xf numFmtId="165" fontId="4" fillId="2" borderId="0" xfId="0" applyNumberFormat="1" applyFont="1" applyFill="1"/>
    <xf numFmtId="165" fontId="4" fillId="2" borderId="7" xfId="0" applyNumberFormat="1" applyFont="1" applyFill="1" applyBorder="1"/>
    <xf numFmtId="0" fontId="1" fillId="7" borderId="12" xfId="0" applyFont="1" applyFill="1" applyBorder="1" applyAlignment="1">
      <alignment horizontal="center"/>
    </xf>
    <xf numFmtId="165" fontId="4" fillId="4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5" fontId="4" fillId="2" borderId="8" xfId="0" applyNumberFormat="1" applyFont="1" applyFill="1" applyBorder="1"/>
    <xf numFmtId="165" fontId="4" fillId="2" borderId="9" xfId="0" applyNumberFormat="1" applyFont="1" applyFill="1" applyBorder="1"/>
    <xf numFmtId="0" fontId="4" fillId="0" borderId="0" xfId="0" applyFont="1" applyAlignment="1">
      <alignment horizontal="center"/>
    </xf>
    <xf numFmtId="165" fontId="4" fillId="6" borderId="11" xfId="0" applyNumberFormat="1" applyFont="1" applyFill="1" applyBorder="1"/>
    <xf numFmtId="0" fontId="1" fillId="2" borderId="3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2" fontId="4" fillId="3" borderId="0" xfId="0" applyNumberFormat="1" applyFont="1" applyFill="1" applyAlignment="1">
      <alignment horizontal="right"/>
    </xf>
    <xf numFmtId="165" fontId="4" fillId="6" borderId="2" xfId="0" applyNumberFormat="1" applyFont="1" applyFill="1" applyBorder="1"/>
    <xf numFmtId="0" fontId="4" fillId="3" borderId="2" xfId="0" applyFont="1" applyFill="1" applyBorder="1" applyAlignment="1">
      <alignment horizontal="center" shrinkToFit="1"/>
    </xf>
    <xf numFmtId="1" fontId="4" fillId="3" borderId="2" xfId="0" applyNumberFormat="1" applyFont="1" applyFill="1" applyBorder="1" applyAlignment="1">
      <alignment horizontal="center" shrinkToFit="1"/>
    </xf>
    <xf numFmtId="165" fontId="4" fillId="3" borderId="2" xfId="0" applyNumberFormat="1" applyFont="1" applyFill="1" applyBorder="1" applyAlignment="1">
      <alignment horizontal="center" shrinkToFit="1"/>
    </xf>
    <xf numFmtId="2" fontId="4" fillId="3" borderId="4" xfId="0" applyNumberFormat="1" applyFont="1" applyFill="1" applyBorder="1" applyAlignment="1">
      <alignment horizontal="center" shrinkToFit="1"/>
    </xf>
    <xf numFmtId="2" fontId="4" fillId="3" borderId="6" xfId="0" applyNumberFormat="1" applyFont="1" applyFill="1" applyBorder="1" applyAlignment="1">
      <alignment horizontal="center" shrinkToFit="1"/>
    </xf>
    <xf numFmtId="2" fontId="4" fillId="3" borderId="1" xfId="0" applyNumberFormat="1" applyFont="1" applyFill="1" applyBorder="1" applyAlignment="1">
      <alignment horizontal="center" shrinkToFit="1"/>
    </xf>
    <xf numFmtId="2" fontId="4" fillId="3" borderId="8" xfId="0" applyNumberFormat="1" applyFont="1" applyFill="1" applyBorder="1" applyAlignment="1">
      <alignment horizontal="center" shrinkToFit="1"/>
    </xf>
    <xf numFmtId="2" fontId="4" fillId="8" borderId="2" xfId="0" applyNumberFormat="1" applyFont="1" applyFill="1" applyBorder="1" applyAlignment="1">
      <alignment horizontal="center" shrinkToFit="1"/>
    </xf>
    <xf numFmtId="164" fontId="4" fillId="8" borderId="7" xfId="0" applyNumberFormat="1" applyFont="1" applyFill="1" applyBorder="1" applyAlignment="1">
      <alignment horizontal="center" shrinkToFit="1"/>
    </xf>
    <xf numFmtId="164" fontId="4" fillId="8" borderId="8" xfId="0" applyNumberFormat="1" applyFont="1" applyFill="1" applyBorder="1" applyAlignment="1">
      <alignment horizontal="center" shrinkToFit="1"/>
    </xf>
    <xf numFmtId="164" fontId="4" fillId="8" borderId="4" xfId="0" applyNumberFormat="1" applyFont="1" applyFill="1" applyBorder="1" applyAlignment="1">
      <alignment horizontal="center" shrinkToFit="1"/>
    </xf>
    <xf numFmtId="164" fontId="4" fillId="8" borderId="5" xfId="0" applyNumberFormat="1" applyFont="1" applyFill="1" applyBorder="1" applyAlignment="1">
      <alignment horizontal="center" shrinkToFit="1"/>
    </xf>
    <xf numFmtId="164" fontId="4" fillId="8" borderId="6" xfId="0" applyNumberFormat="1" applyFont="1" applyFill="1" applyBorder="1" applyAlignment="1">
      <alignment horizontal="center" shrinkToFit="1"/>
    </xf>
    <xf numFmtId="164" fontId="4" fillId="8" borderId="0" xfId="0" applyNumberFormat="1" applyFont="1" applyFill="1" applyAlignment="1">
      <alignment horizontal="center" shrinkToFit="1"/>
    </xf>
    <xf numFmtId="164" fontId="4" fillId="8" borderId="1" xfId="0" applyNumberFormat="1" applyFont="1" applyFill="1" applyBorder="1" applyAlignment="1">
      <alignment horizontal="center" shrinkToFit="1"/>
    </xf>
    <xf numFmtId="0" fontId="1" fillId="5" borderId="10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4" fillId="5" borderId="0" xfId="0" applyFont="1" applyFill="1"/>
    <xf numFmtId="0" fontId="7" fillId="3" borderId="2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7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165" fontId="4" fillId="9" borderId="3" xfId="0" applyNumberFormat="1" applyFont="1" applyFill="1" applyBorder="1"/>
    <xf numFmtId="165" fontId="4" fillId="9" borderId="6" xfId="0" applyNumberFormat="1" applyFont="1" applyFill="1" applyBorder="1"/>
    <xf numFmtId="165" fontId="4" fillId="9" borderId="1" xfId="0" applyNumberFormat="1" applyFont="1" applyFill="1" applyBorder="1"/>
    <xf numFmtId="165" fontId="4" fillId="7" borderId="3" xfId="0" applyNumberFormat="1" applyFont="1" applyFill="1" applyBorder="1"/>
    <xf numFmtId="165" fontId="4" fillId="7" borderId="6" xfId="0" applyNumberFormat="1" applyFont="1" applyFill="1" applyBorder="1"/>
    <xf numFmtId="165" fontId="4" fillId="7" borderId="1" xfId="0" applyNumberFormat="1" applyFont="1" applyFill="1" applyBorder="1"/>
    <xf numFmtId="164" fontId="4" fillId="3" borderId="11" xfId="0" applyNumberFormat="1" applyFont="1" applyFill="1" applyBorder="1"/>
    <xf numFmtId="2" fontId="4" fillId="3" borderId="2" xfId="0" applyNumberFormat="1" applyFont="1" applyFill="1" applyBorder="1" applyAlignment="1">
      <alignment horizontal="right"/>
    </xf>
    <xf numFmtId="164" fontId="4" fillId="6" borderId="2" xfId="0" applyNumberFormat="1" applyFont="1" applyFill="1" applyBorder="1" applyAlignment="1">
      <alignment shrinkToFit="1"/>
    </xf>
    <xf numFmtId="164" fontId="4" fillId="6" borderId="11" xfId="0" applyNumberFormat="1" applyFont="1" applyFill="1" applyBorder="1" applyAlignment="1">
      <alignment shrinkToFit="1"/>
    </xf>
    <xf numFmtId="0" fontId="10" fillId="6" borderId="11" xfId="0" applyFont="1" applyFill="1" applyBorder="1" applyAlignment="1">
      <alignment horizontal="center"/>
    </xf>
    <xf numFmtId="2" fontId="11" fillId="3" borderId="0" xfId="0" applyNumberFormat="1" applyFont="1" applyFill="1" applyAlignment="1">
      <alignment horizontal="right"/>
    </xf>
    <xf numFmtId="165" fontId="11" fillId="6" borderId="11" xfId="0" applyNumberFormat="1" applyFont="1" applyFill="1" applyBorder="1"/>
    <xf numFmtId="164" fontId="11" fillId="6" borderId="11" xfId="0" applyNumberFormat="1" applyFont="1" applyFill="1" applyBorder="1" applyAlignment="1">
      <alignment shrinkToFit="1"/>
    </xf>
    <xf numFmtId="164" fontId="11" fillId="3" borderId="11" xfId="0" applyNumberFormat="1" applyFont="1" applyFill="1" applyBorder="1"/>
    <xf numFmtId="164" fontId="11" fillId="3" borderId="10" xfId="0" applyNumberFormat="1" applyFont="1" applyFill="1" applyBorder="1"/>
    <xf numFmtId="2" fontId="11" fillId="3" borderId="7" xfId="0" applyNumberFormat="1" applyFont="1" applyFill="1" applyBorder="1" applyAlignment="1">
      <alignment horizontal="right"/>
    </xf>
    <xf numFmtId="0" fontId="10" fillId="6" borderId="12" xfId="0" applyFont="1" applyFill="1" applyBorder="1" applyAlignment="1">
      <alignment horizontal="center"/>
    </xf>
    <xf numFmtId="2" fontId="11" fillId="3" borderId="9" xfId="0" applyNumberFormat="1" applyFont="1" applyFill="1" applyBorder="1" applyAlignment="1">
      <alignment horizontal="right"/>
    </xf>
    <xf numFmtId="165" fontId="11" fillId="6" borderId="12" xfId="0" applyNumberFormat="1" applyFont="1" applyFill="1" applyBorder="1"/>
    <xf numFmtId="164" fontId="11" fillId="6" borderId="12" xfId="0" applyNumberFormat="1" applyFont="1" applyFill="1" applyBorder="1" applyAlignment="1">
      <alignment shrinkToFit="1"/>
    </xf>
    <xf numFmtId="164" fontId="11" fillId="3" borderId="12" xfId="0" applyNumberFormat="1" applyFont="1" applyFill="1" applyBorder="1"/>
    <xf numFmtId="164" fontId="11" fillId="6" borderId="2" xfId="0" applyNumberFormat="1" applyFont="1" applyFill="1" applyBorder="1"/>
    <xf numFmtId="165" fontId="9" fillId="4" borderId="6" xfId="0" applyNumberFormat="1" applyFont="1" applyFill="1" applyBorder="1"/>
    <xf numFmtId="165" fontId="9" fillId="4" borderId="7" xfId="0" applyNumberFormat="1" applyFont="1" applyFill="1" applyBorder="1"/>
    <xf numFmtId="165" fontId="9" fillId="4" borderId="10" xfId="0" applyNumberFormat="1" applyFont="1" applyFill="1" applyBorder="1"/>
    <xf numFmtId="165" fontId="9" fillId="4" borderId="11" xfId="0" applyNumberFormat="1" applyFont="1" applyFill="1" applyBorder="1"/>
    <xf numFmtId="165" fontId="9" fillId="4" borderId="12" xfId="0" applyNumberFormat="1" applyFont="1" applyFill="1" applyBorder="1"/>
    <xf numFmtId="165" fontId="9" fillId="4" borderId="1" xfId="0" applyNumberFormat="1" applyFont="1" applyFill="1" applyBorder="1"/>
    <xf numFmtId="165" fontId="9" fillId="4" borderId="9" xfId="0" applyNumberFormat="1" applyFont="1" applyFill="1" applyBorder="1"/>
    <xf numFmtId="0" fontId="4" fillId="7" borderId="5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165" fontId="9" fillId="9" borderId="6" xfId="0" applyNumberFormat="1" applyFont="1" applyFill="1" applyBorder="1"/>
    <xf numFmtId="165" fontId="9" fillId="9" borderId="1" xfId="0" applyNumberFormat="1" applyFont="1" applyFill="1" applyBorder="1"/>
    <xf numFmtId="165" fontId="9" fillId="9" borderId="7" xfId="0" applyNumberFormat="1" applyFont="1" applyFill="1" applyBorder="1"/>
    <xf numFmtId="165" fontId="9" fillId="9" borderId="9" xfId="0" applyNumberFormat="1" applyFont="1" applyFill="1" applyBorder="1"/>
    <xf numFmtId="165" fontId="4" fillId="9" borderId="5" xfId="0" applyNumberFormat="1" applyFont="1" applyFill="1" applyBorder="1"/>
    <xf numFmtId="165" fontId="4" fillId="9" borderId="9" xfId="0" applyNumberFormat="1" applyFont="1" applyFill="1" applyBorder="1"/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1" fontId="4" fillId="4" borderId="3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2" borderId="4" xfId="0" applyNumberFormat="1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/>
    </xf>
    <xf numFmtId="1" fontId="4" fillId="2" borderId="8" xfId="0" applyNumberFormat="1" applyFont="1" applyFill="1" applyBorder="1" applyAlignment="1">
      <alignment horizontal="center"/>
    </xf>
    <xf numFmtId="1" fontId="4" fillId="2" borderId="9" xfId="0" applyNumberFormat="1" applyFont="1" applyFill="1" applyBorder="1" applyAlignment="1">
      <alignment horizontal="center"/>
    </xf>
    <xf numFmtId="165" fontId="4" fillId="9" borderId="7" xfId="0" applyNumberFormat="1" applyFont="1" applyFill="1" applyBorder="1"/>
    <xf numFmtId="0" fontId="9" fillId="2" borderId="10" xfId="0" applyFont="1" applyFill="1" applyBorder="1" applyAlignment="1">
      <alignment horizontal="center"/>
    </xf>
    <xf numFmtId="165" fontId="4" fillId="0" borderId="0" xfId="0" applyNumberFormat="1" applyFont="1"/>
    <xf numFmtId="0" fontId="7" fillId="2" borderId="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4" fillId="2" borderId="7" xfId="0" applyFont="1" applyFill="1" applyBorder="1"/>
    <xf numFmtId="0" fontId="1" fillId="10" borderId="3" xfId="0" applyFont="1" applyFill="1" applyBorder="1" applyAlignment="1">
      <alignment horizontal="center" shrinkToFit="1"/>
    </xf>
    <xf numFmtId="0" fontId="1" fillId="10" borderId="13" xfId="0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/>
    </xf>
    <xf numFmtId="0" fontId="1" fillId="10" borderId="14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center"/>
    </xf>
    <xf numFmtId="0" fontId="4" fillId="10" borderId="0" xfId="0" applyFont="1" applyFill="1" applyAlignment="1">
      <alignment horizontal="center"/>
    </xf>
    <xf numFmtId="0" fontId="4" fillId="10" borderId="1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2" fontId="4" fillId="10" borderId="1" xfId="0" applyNumberFormat="1" applyFont="1" applyFill="1" applyBorder="1" applyAlignment="1">
      <alignment horizontal="center"/>
    </xf>
    <xf numFmtId="0" fontId="4" fillId="10" borderId="9" xfId="0" applyFont="1" applyFill="1" applyBorder="1" applyAlignment="1">
      <alignment horizontal="center"/>
    </xf>
    <xf numFmtId="0" fontId="4" fillId="10" borderId="8" xfId="0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/>
    </xf>
    <xf numFmtId="166" fontId="4" fillId="10" borderId="12" xfId="0" applyNumberFormat="1" applyFont="1" applyFill="1" applyBorder="1" applyAlignment="1">
      <alignment horizontal="center"/>
    </xf>
    <xf numFmtId="2" fontId="4" fillId="10" borderId="12" xfId="0" applyNumberFormat="1" applyFont="1" applyFill="1" applyBorder="1" applyAlignment="1">
      <alignment horizontal="center"/>
    </xf>
    <xf numFmtId="165" fontId="9" fillId="11" borderId="3" xfId="0" applyNumberFormat="1" applyFont="1" applyFill="1" applyBorder="1"/>
    <xf numFmtId="165" fontId="9" fillId="11" borderId="6" xfId="0" applyNumberFormat="1" applyFont="1" applyFill="1" applyBorder="1"/>
    <xf numFmtId="165" fontId="9" fillId="11" borderId="1" xfId="0" applyNumberFormat="1" applyFont="1" applyFill="1" applyBorder="1"/>
    <xf numFmtId="165" fontId="9" fillId="11" borderId="7" xfId="0" applyNumberFormat="1" applyFont="1" applyFill="1" applyBorder="1" applyAlignment="1">
      <alignment horizontal="center"/>
    </xf>
    <xf numFmtId="165" fontId="9" fillId="11" borderId="9" xfId="0" applyNumberFormat="1" applyFont="1" applyFill="1" applyBorder="1" applyAlignment="1">
      <alignment horizontal="center"/>
    </xf>
    <xf numFmtId="164" fontId="9" fillId="0" borderId="0" xfId="0" applyNumberFormat="1" applyFont="1" applyAlignment="1">
      <alignment shrinkToFit="1"/>
    </xf>
    <xf numFmtId="1" fontId="4" fillId="3" borderId="4" xfId="0" applyNumberFormat="1" applyFont="1" applyFill="1" applyBorder="1" applyAlignment="1">
      <alignment horizontal="center" shrinkToFit="1"/>
    </xf>
    <xf numFmtId="1" fontId="4" fillId="3" borderId="5" xfId="0" applyNumberFormat="1" applyFont="1" applyFill="1" applyBorder="1" applyAlignment="1">
      <alignment horizontal="center" shrinkToFit="1"/>
    </xf>
    <xf numFmtId="1" fontId="4" fillId="3" borderId="6" xfId="0" applyNumberFormat="1" applyFont="1" applyFill="1" applyBorder="1" applyAlignment="1">
      <alignment horizontal="center" shrinkToFit="1"/>
    </xf>
    <xf numFmtId="1" fontId="4" fillId="3" borderId="1" xfId="0" applyNumberFormat="1" applyFont="1" applyFill="1" applyBorder="1" applyAlignment="1">
      <alignment horizontal="center" shrinkToFit="1"/>
    </xf>
    <xf numFmtId="165" fontId="1" fillId="4" borderId="10" xfId="0" applyNumberFormat="1" applyFont="1" applyFill="1" applyBorder="1" applyAlignment="1">
      <alignment horizontal="center" vertical="center"/>
    </xf>
    <xf numFmtId="0" fontId="16" fillId="0" borderId="0" xfId="0" applyFont="1"/>
    <xf numFmtId="164" fontId="4" fillId="10" borderId="12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65" fontId="7" fillId="9" borderId="3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165" fontId="1" fillId="7" borderId="3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1" fillId="2" borderId="5" xfId="0" applyNumberFormat="1" applyFont="1" applyFill="1" applyBorder="1" applyAlignment="1">
      <alignment horizontal="center" vertical="center"/>
    </xf>
    <xf numFmtId="165" fontId="1" fillId="2" borderId="9" xfId="0" applyNumberFormat="1" applyFont="1" applyFill="1" applyBorder="1" applyAlignment="1">
      <alignment horizontal="center" vertical="center"/>
    </xf>
    <xf numFmtId="165" fontId="1" fillId="2" borderId="10" xfId="0" applyNumberFormat="1" applyFont="1" applyFill="1" applyBorder="1" applyAlignment="1">
      <alignment horizontal="center" vertical="center"/>
    </xf>
    <xf numFmtId="165" fontId="1" fillId="2" borderId="12" xfId="0" applyNumberFormat="1" applyFont="1" applyFill="1" applyBorder="1" applyAlignment="1">
      <alignment horizontal="center" vertical="center"/>
    </xf>
    <xf numFmtId="165" fontId="1" fillId="11" borderId="5" xfId="0" applyNumberFormat="1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165" fontId="1" fillId="11" borderId="3" xfId="0" applyNumberFormat="1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5" fontId="12" fillId="2" borderId="3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" fontId="4" fillId="3" borderId="5" xfId="0" applyNumberFormat="1" applyFont="1" applyFill="1" applyBorder="1" applyAlignment="1">
      <alignment horizontal="center" shrinkToFit="1"/>
    </xf>
    <xf numFmtId="2" fontId="4" fillId="3" borderId="0" xfId="0" applyNumberFormat="1" applyFont="1" applyFill="1" applyBorder="1" applyAlignment="1">
      <alignment horizontal="center" shrinkToFit="1"/>
    </xf>
    <xf numFmtId="2" fontId="4" fillId="3" borderId="7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2">
    <dxf>
      <fill>
        <patternFill>
          <bgColor theme="7" tint="0.79998168889431442"/>
        </patternFill>
      </fill>
    </dxf>
    <dxf>
      <numFmt numFmtId="1" formatCode="0"/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D7FF"/>
      <color rgb="FFD7FFD7"/>
      <color rgb="FFEDE0F6"/>
      <color rgb="FFD7FFFF"/>
      <color rgb="FFFFD7D7"/>
      <color rgb="FFFFE1E1"/>
      <color rgb="FFFFF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65835520559933E-2"/>
          <c:y val="3.8142497812773402E-2"/>
          <c:w val="0.87543416447944011"/>
          <c:h val="0.9237150043744532"/>
        </c:manualLayout>
      </c:layout>
      <c:scatterChart>
        <c:scatterStyle val="lineMarker"/>
        <c:varyColors val="0"/>
        <c:ser>
          <c:idx val="0"/>
          <c:order val="0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'14-1'!$B$3:$B$17</c:f>
              <c:numCache>
                <c:formatCode>0.000</c:formatCode>
                <c:ptCount val="15"/>
                <c:pt idx="0">
                  <c:v>0.87689956324086149</c:v>
                </c:pt>
                <c:pt idx="1">
                  <c:v>-0.38928413790569766</c:v>
                </c:pt>
                <c:pt idx="2">
                  <c:v>-1.0587450947885062</c:v>
                </c:pt>
                <c:pt idx="3">
                  <c:v>-1.5072974059393618</c:v>
                </c:pt>
                <c:pt idx="4">
                  <c:v>-0.27074779141538152</c:v>
                </c:pt>
                <c:pt idx="5">
                  <c:v>-1.4763163153793926</c:v>
                </c:pt>
                <c:pt idx="6">
                  <c:v>1.6164047248679478</c:v>
                </c:pt>
                <c:pt idx="7">
                  <c:v>0.36907907884484786</c:v>
                </c:pt>
                <c:pt idx="8">
                  <c:v>1.6729788902383258</c:v>
                </c:pt>
                <c:pt idx="9">
                  <c:v>5.9268173245157846E-2</c:v>
                </c:pt>
                <c:pt idx="10">
                  <c:v>0.13200638586421556</c:v>
                </c:pt>
                <c:pt idx="11">
                  <c:v>-0.52129052376991336</c:v>
                </c:pt>
                <c:pt idx="12">
                  <c:v>1.1638114019049224</c:v>
                </c:pt>
                <c:pt idx="13">
                  <c:v>-0.42430624027783659</c:v>
                </c:pt>
                <c:pt idx="14">
                  <c:v>-0.2424607087301924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3D-4D58-9FA9-300533716AA7}"/>
            </c:ext>
          </c:extLst>
        </c:ser>
        <c:ser>
          <c:idx val="1"/>
          <c:order val="1"/>
          <c:tx>
            <c:v>R2=1 Line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('14-1'!$AE$3,'14-1'!$AE$23)</c:f>
              <c:numCache>
                <c:formatCode>0.000</c:formatCode>
                <c:ptCount val="2"/>
                <c:pt idx="0">
                  <c:v>-1.7857490452456863</c:v>
                </c:pt>
                <c:pt idx="1">
                  <c:v>1.6729788902383258</c:v>
                </c:pt>
              </c:numCache>
            </c:numRef>
          </c:xVal>
          <c:yVal>
            <c:numRef>
              <c:f>('14-1'!$AE$3,'14-1'!$AE$23)</c:f>
              <c:numCache>
                <c:formatCode>0.000</c:formatCode>
                <c:ptCount val="2"/>
                <c:pt idx="0">
                  <c:v>-1.7857490452456863</c:v>
                </c:pt>
                <c:pt idx="1">
                  <c:v>1.6729788902383258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73D-4D58-9FA9-300533716AA7}"/>
            </c:ext>
          </c:extLst>
        </c:ser>
        <c:ser>
          <c:idx val="14"/>
          <c:order val="8"/>
          <c:tx>
            <c:v>Act LPL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'14-1'!$AB$3:$AB$17</c:f>
              <c:numCache>
                <c:formatCode>0.000</c:formatCode>
                <c:ptCount val="15"/>
                <c:pt idx="0">
                  <c:v>3.5337699746554097E-2</c:v>
                </c:pt>
                <c:pt idx="1">
                  <c:v>-0.89744086344364982</c:v>
                </c:pt>
                <c:pt idx="2">
                  <c:v>-2.249866832570488</c:v>
                </c:pt>
                <c:pt idx="3">
                  <c:v>-2.2615701049701489</c:v>
                </c:pt>
                <c:pt idx="4">
                  <c:v>-1.2580850572578115</c:v>
                </c:pt>
                <c:pt idx="5">
                  <c:v>-2.8945707551319702</c:v>
                </c:pt>
                <c:pt idx="6">
                  <c:v>0.34906648188727707</c:v>
                </c:pt>
                <c:pt idx="7">
                  <c:v>-1.0295815862434712</c:v>
                </c:pt>
                <c:pt idx="8">
                  <c:v>0.40866646591605682</c:v>
                </c:pt>
                <c:pt idx="9">
                  <c:v>-0.89639769314973639</c:v>
                </c:pt>
                <c:pt idx="10">
                  <c:v>-1.0595405141258143</c:v>
                </c:pt>
                <c:pt idx="11">
                  <c:v>-1.4347278203559943</c:v>
                </c:pt>
                <c:pt idx="12">
                  <c:v>-6.9908274296389017E-2</c:v>
                </c:pt>
                <c:pt idx="13">
                  <c:v>-0.63532475603531624</c:v>
                </c:pt>
                <c:pt idx="14">
                  <c:v>-1.0881762138250899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3D-4D58-9FA9-300533716AA7}"/>
            </c:ext>
          </c:extLst>
        </c:ser>
        <c:ser>
          <c:idx val="12"/>
          <c:order val="6"/>
          <c:tx>
            <c:v>Act LCL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'14-1'!$Z$3:$Z$17</c:f>
              <c:numCache>
                <c:formatCode>0.000</c:formatCode>
                <c:ptCount val="15"/>
                <c:pt idx="0">
                  <c:v>0.62186088248835691</c:v>
                </c:pt>
                <c:pt idx="1">
                  <c:v>-0.42302324383062639</c:v>
                </c:pt>
                <c:pt idx="2">
                  <c:v>-1.7776277903023638</c:v>
                </c:pt>
                <c:pt idx="3">
                  <c:v>-1.8058754525163541</c:v>
                </c:pt>
                <c:pt idx="4">
                  <c:v>-0.72726171750457114</c:v>
                </c:pt>
                <c:pt idx="5">
                  <c:v>-2.4779559533808069</c:v>
                </c:pt>
                <c:pt idx="6">
                  <c:v>0.83432741491779316</c:v>
                </c:pt>
                <c:pt idx="7">
                  <c:v>-0.45614491042931471</c:v>
                </c:pt>
                <c:pt idx="8">
                  <c:v>0.8571415571613773</c:v>
                </c:pt>
                <c:pt idx="9">
                  <c:v>-0.3059861710505653</c:v>
                </c:pt>
                <c:pt idx="10">
                  <c:v>-0.52360793420608687</c:v>
                </c:pt>
                <c:pt idx="11">
                  <c:v>-0.83369612691809714</c:v>
                </c:pt>
                <c:pt idx="12">
                  <c:v>0.41448085615815888</c:v>
                </c:pt>
                <c:pt idx="13">
                  <c:v>-0.10240029632246295</c:v>
                </c:pt>
                <c:pt idx="14">
                  <c:v>-0.61588731216452275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73D-4D58-9FA9-300533716AA7}"/>
            </c:ext>
          </c:extLst>
        </c:ser>
        <c:ser>
          <c:idx val="13"/>
          <c:order val="7"/>
          <c:tx>
            <c:v>Act UCL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'14-1'!$AA$3:$AA$17</c:f>
              <c:numCache>
                <c:formatCode>0.000</c:formatCode>
                <c:ptCount val="15"/>
                <c:pt idx="0">
                  <c:v>1.31463100429692</c:v>
                </c:pt>
                <c:pt idx="1">
                  <c:v>0.6841512815892391</c:v>
                </c:pt>
                <c:pt idx="2">
                  <c:v>-0.6609783386387641</c:v>
                </c:pt>
                <c:pt idx="3">
                  <c:v>-0.61499563541075608</c:v>
                </c:pt>
                <c:pt idx="4">
                  <c:v>0.15544581912370115</c:v>
                </c:pt>
                <c:pt idx="5">
                  <c:v>-1.0935421371105656</c:v>
                </c:pt>
                <c:pt idx="6">
                  <c:v>1.8953174359033378</c:v>
                </c:pt>
                <c:pt idx="7">
                  <c:v>0.27890671297430158</c:v>
                </c:pt>
                <c:pt idx="8">
                  <c:v>2.0817475250260218</c:v>
                </c:pt>
                <c:pt idx="9">
                  <c:v>0.37447042605191699</c:v>
                </c:pt>
                <c:pt idx="10">
                  <c:v>0.34051465840641926</c:v>
                </c:pt>
                <c:pt idx="11">
                  <c:v>-0.1863158167339436</c:v>
                </c:pt>
                <c:pt idx="12">
                  <c:v>1.4791256190551181</c:v>
                </c:pt>
                <c:pt idx="13">
                  <c:v>0.77263310172457988</c:v>
                </c:pt>
                <c:pt idx="14">
                  <c:v>0.50054454164255135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73D-4D58-9FA9-300533716AA7}"/>
            </c:ext>
          </c:extLst>
        </c:ser>
        <c:ser>
          <c:idx val="15"/>
          <c:order val="9"/>
          <c:tx>
            <c:v>Act UPL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'14-1'!$AC$3:$AC$17</c:f>
              <c:numCache>
                <c:formatCode>0.000</c:formatCode>
                <c:ptCount val="15"/>
                <c:pt idx="0">
                  <c:v>1.9011541870387227</c:v>
                </c:pt>
                <c:pt idx="1">
                  <c:v>1.1585689012022624</c:v>
                </c:pt>
                <c:pt idx="2">
                  <c:v>-0.18873929637064002</c:v>
                </c:pt>
                <c:pt idx="3">
                  <c:v>-0.15930098295696116</c:v>
                </c:pt>
                <c:pt idx="4">
                  <c:v>0.6862691588769414</c:v>
                </c:pt>
                <c:pt idx="5">
                  <c:v>-0.6769273353594023</c:v>
                </c:pt>
                <c:pt idx="6">
                  <c:v>2.380578368933854</c:v>
                </c:pt>
                <c:pt idx="7">
                  <c:v>0.85234338878845795</c:v>
                </c:pt>
                <c:pt idx="8">
                  <c:v>2.5302226162713426</c:v>
                </c:pt>
                <c:pt idx="9">
                  <c:v>0.96488194815108819</c:v>
                </c:pt>
                <c:pt idx="10">
                  <c:v>0.87644723832614657</c:v>
                </c:pt>
                <c:pt idx="11">
                  <c:v>0.41471587670395349</c:v>
                </c:pt>
                <c:pt idx="12">
                  <c:v>1.9635147495096659</c:v>
                </c:pt>
                <c:pt idx="13">
                  <c:v>1.3055575614374333</c:v>
                </c:pt>
                <c:pt idx="14">
                  <c:v>0.97283344330311861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73D-4D58-9FA9-300533716AA7}"/>
            </c:ext>
          </c:extLst>
        </c:ser>
        <c:ser>
          <c:idx val="16"/>
          <c:order val="10"/>
          <c:tx>
            <c:v>LCL y</c:v>
          </c:tx>
          <c:spPr>
            <a:ln w="158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'14-1'!$AO$3:$AO$23</c:f>
              <c:numCache>
                <c:formatCode>0.000</c:formatCode>
                <c:ptCount val="21"/>
                <c:pt idx="0">
                  <c:v>-2.2557837272607957</c:v>
                </c:pt>
                <c:pt idx="1">
                  <c:v>-2.0480513493679764</c:v>
                </c:pt>
                <c:pt idx="2">
                  <c:v>-1.8412969840925375</c:v>
                </c:pt>
                <c:pt idx="3">
                  <c:v>-1.635789736599998</c:v>
                </c:pt>
                <c:pt idx="4">
                  <c:v>-1.4318904499184122</c:v>
                </c:pt>
                <c:pt idx="5">
                  <c:v>-1.2300828479919781</c:v>
                </c:pt>
                <c:pt idx="6">
                  <c:v>-1.0310081057795306</c:v>
                </c:pt>
                <c:pt idx="7">
                  <c:v>-0.83549081074408971</c:v>
                </c:pt>
                <c:pt idx="8">
                  <c:v>-0.64452773496332916</c:v>
                </c:pt>
                <c:pt idx="9">
                  <c:v>-0.45919282273575823</c:v>
                </c:pt>
                <c:pt idx="10">
                  <c:v>-0.28042244023982599</c:v>
                </c:pt>
                <c:pt idx="11">
                  <c:v>-0.10872716647400843</c:v>
                </c:pt>
                <c:pt idx="12">
                  <c:v>5.600579906915637E-2</c:v>
                </c:pt>
                <c:pt idx="13">
                  <c:v>0.21446651937303191</c:v>
                </c:pt>
                <c:pt idx="14">
                  <c:v>0.36767060706031129</c:v>
                </c:pt>
                <c:pt idx="15">
                  <c:v>0.5166832015003695</c:v>
                </c:pt>
                <c:pt idx="16">
                  <c:v>0.6624465797791923</c:v>
                </c:pt>
                <c:pt idx="17">
                  <c:v>0.80572006181057654</c:v>
                </c:pt>
                <c:pt idx="18">
                  <c:v>0.94708625671208724</c:v>
                </c:pt>
                <c:pt idx="19">
                  <c:v>1.0869822551990387</c:v>
                </c:pt>
                <c:pt idx="20">
                  <c:v>1.2257337725767745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6-573D-4D58-9FA9-300533716AA7}"/>
            </c:ext>
          </c:extLst>
        </c:ser>
        <c:ser>
          <c:idx val="17"/>
          <c:order val="11"/>
          <c:tx>
            <c:v>UCL y</c:v>
          </c:tx>
          <c:spPr>
            <a:ln w="15875" cap="rnd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'14-1'!$AP$3:$AP$23</c:f>
              <c:numCache>
                <c:formatCode>0.000</c:formatCode>
                <c:ptCount val="21"/>
                <c:pt idx="0">
                  <c:v>-1.315714363230577</c:v>
                </c:pt>
                <c:pt idx="1">
                  <c:v>-1.1775739475749951</c:v>
                </c:pt>
                <c:pt idx="2">
                  <c:v>-1.0384555193020328</c:v>
                </c:pt>
                <c:pt idx="3">
                  <c:v>-0.89808997324617112</c:v>
                </c:pt>
                <c:pt idx="4">
                  <c:v>-0.75611646637935581</c:v>
                </c:pt>
                <c:pt idx="5">
                  <c:v>-0.61205127475738874</c:v>
                </c:pt>
                <c:pt idx="6">
                  <c:v>-0.46525322342143499</c:v>
                </c:pt>
                <c:pt idx="7">
                  <c:v>-0.31489772490847479</c:v>
                </c:pt>
                <c:pt idx="8">
                  <c:v>-0.15998800714083422</c:v>
                </c:pt>
                <c:pt idx="9">
                  <c:v>5.498741799961071E-4</c:v>
                </c:pt>
                <c:pt idx="10">
                  <c:v>0.16765228523246509</c:v>
                </c:pt>
                <c:pt idx="11">
                  <c:v>0.34182980501504878</c:v>
                </c:pt>
                <c:pt idx="12">
                  <c:v>0.52296963302028521</c:v>
                </c:pt>
                <c:pt idx="13">
                  <c:v>0.71038170626481079</c:v>
                </c:pt>
                <c:pt idx="14">
                  <c:v>0.90305041212593262</c:v>
                </c:pt>
                <c:pt idx="15">
                  <c:v>1.0999106112342756</c:v>
                </c:pt>
                <c:pt idx="16">
                  <c:v>1.300020026503854</c:v>
                </c:pt>
                <c:pt idx="17">
                  <c:v>1.502619338020871</c:v>
                </c:pt>
                <c:pt idx="18">
                  <c:v>1.7071259366677616</c:v>
                </c:pt>
                <c:pt idx="19">
                  <c:v>1.9131027317292113</c:v>
                </c:pt>
                <c:pt idx="20">
                  <c:v>2.1202240078998771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7-573D-4D58-9FA9-300533716AA7}"/>
            </c:ext>
          </c:extLst>
        </c:ser>
        <c:ser>
          <c:idx val="18"/>
          <c:order val="12"/>
          <c:tx>
            <c:v>LPL y</c:v>
          </c:tx>
          <c:spPr>
            <a:ln w="158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'14-1'!$AQ$3:$AQ$23</c:f>
              <c:numCache>
                <c:formatCode>0.000</c:formatCode>
                <c:ptCount val="21"/>
                <c:pt idx="0">
                  <c:v>-2.7712782345354832</c:v>
                </c:pt>
                <c:pt idx="1">
                  <c:v>-2.5822289199478954</c:v>
                </c:pt>
                <c:pt idx="2">
                  <c:v>-2.3945876138596405</c:v>
                </c:pt>
                <c:pt idx="3">
                  <c:v>-2.2084202933062898</c:v>
                </c:pt>
                <c:pt idx="4">
                  <c:v>-2.0237898851589904</c:v>
                </c:pt>
                <c:pt idx="5">
                  <c:v>-1.840755017707626</c:v>
                </c:pt>
                <c:pt idx="6">
                  <c:v>-1.6593687385269209</c:v>
                </c:pt>
                <c:pt idx="7">
                  <c:v>-1.4796772532384574</c:v>
                </c:pt>
                <c:pt idx="8">
                  <c:v>-1.3017187471354905</c:v>
                </c:pt>
                <c:pt idx="9">
                  <c:v>-1.1255223543750843</c:v>
                </c:pt>
                <c:pt idx="10">
                  <c:v>-0.95110733639016098</c:v>
                </c:pt>
                <c:pt idx="11">
                  <c:v>-0.77848252186874478</c:v>
                </c:pt>
                <c:pt idx="12">
                  <c:v>-0.60764604555370638</c:v>
                </c:pt>
                <c:pt idx="13">
                  <c:v>-0.43858540366391596</c:v>
                </c:pt>
                <c:pt idx="14">
                  <c:v>-0.27127782213744456</c:v>
                </c:pt>
                <c:pt idx="15">
                  <c:v>-0.10569091275905362</c:v>
                </c:pt>
                <c:pt idx="16">
                  <c:v>5.8216425919199288E-2</c:v>
                </c:pt>
                <c:pt idx="17">
                  <c:v>0.22049291915014912</c:v>
                </c:pt>
                <c:pt idx="18">
                  <c:v>0.38119370147462739</c:v>
                </c:pt>
                <c:pt idx="19">
                  <c:v>0.5403790414765185</c:v>
                </c:pt>
                <c:pt idx="20">
                  <c:v>0.69811306566693698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8-573D-4D58-9FA9-300533716AA7}"/>
            </c:ext>
          </c:extLst>
        </c:ser>
        <c:ser>
          <c:idx val="19"/>
          <c:order val="13"/>
          <c:tx>
            <c:v>UPL y</c:v>
          </c:tx>
          <c:spPr>
            <a:ln w="158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'14-1'!$AR$3:$AR$23</c:f>
              <c:numCache>
                <c:formatCode>0.000</c:formatCode>
                <c:ptCount val="21"/>
                <c:pt idx="0">
                  <c:v>-0.80021985595588974</c:v>
                </c:pt>
                <c:pt idx="1">
                  <c:v>-0.64339637699507601</c:v>
                </c:pt>
                <c:pt idx="2">
                  <c:v>-0.48516488953492976</c:v>
                </c:pt>
                <c:pt idx="3">
                  <c:v>-0.32545941653987953</c:v>
                </c:pt>
                <c:pt idx="4">
                  <c:v>-0.1642170311387775</c:v>
                </c:pt>
                <c:pt idx="5">
                  <c:v>-1.3791050417408801E-3</c:v>
                </c:pt>
                <c:pt idx="6">
                  <c:v>0.16310740932595524</c:v>
                </c:pt>
                <c:pt idx="7">
                  <c:v>0.32928871758589284</c:v>
                </c:pt>
                <c:pt idx="8">
                  <c:v>0.49720300503132719</c:v>
                </c:pt>
                <c:pt idx="9">
                  <c:v>0.66687940581932226</c:v>
                </c:pt>
                <c:pt idx="10">
                  <c:v>0.8383371813828</c:v>
                </c:pt>
                <c:pt idx="11">
                  <c:v>1.0115851604097852</c:v>
                </c:pt>
                <c:pt idx="12">
                  <c:v>1.1866214776431478</c:v>
                </c:pt>
                <c:pt idx="13">
                  <c:v>1.3634336293017588</c:v>
                </c:pt>
                <c:pt idx="14">
                  <c:v>1.5419988413236885</c:v>
                </c:pt>
                <c:pt idx="15">
                  <c:v>1.7222847254936986</c:v>
                </c:pt>
                <c:pt idx="16">
                  <c:v>1.904250180363847</c:v>
                </c:pt>
                <c:pt idx="17">
                  <c:v>2.0878464806812986</c:v>
                </c:pt>
                <c:pt idx="18">
                  <c:v>2.2730184919052214</c:v>
                </c:pt>
                <c:pt idx="19">
                  <c:v>2.4597059454517316</c:v>
                </c:pt>
                <c:pt idx="20">
                  <c:v>2.6478447148097146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9-573D-4D58-9FA9-300533716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88904"/>
        <c:axId val="50270876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LCL</c:v>
                </c:tx>
                <c:spPr>
                  <a:ln w="15875" cap="rnd">
                    <a:solidFill>
                      <a:schemeClr val="tx1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'14-1'!$AH$3:$AH$23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-2.535694807080036</c:v>
                      </c:pt>
                      <c:pt idx="1">
                        <c:v>-2.30724102070194</c:v>
                      </c:pt>
                      <c:pt idx="2">
                        <c:v>-2.0803476647462977</c:v>
                      </c:pt>
                      <c:pt idx="3">
                        <c:v>-1.8554440996115877</c:v>
                      </c:pt>
                      <c:pt idx="4">
                        <c:v>-1.6331060545151028</c:v>
                      </c:pt>
                      <c:pt idx="5">
                        <c:v>-1.4141053165945365</c:v>
                      </c:pt>
                      <c:pt idx="6">
                        <c:v>-1.1994648878992502</c:v>
                      </c:pt>
                      <c:pt idx="7">
                        <c:v>-0.99050040724658062</c:v>
                      </c:pt>
                      <c:pt idx="8">
                        <c:v>-0.78880223599446331</c:v>
                      </c:pt>
                      <c:pt idx="9">
                        <c:v>-0.59608386467015095</c:v>
                      </c:pt>
                      <c:pt idx="10">
                        <c:v>-0.41383927632196321</c:v>
                      </c:pt>
                      <c:pt idx="11">
                        <c:v>-0.24288310563674317</c:v>
                      </c:pt>
                      <c:pt idx="12">
                        <c:v>-8.3035378102522373E-2</c:v>
                      </c:pt>
                      <c:pt idx="13">
                        <c:v>6.6804909737621931E-2</c:v>
                      </c:pt>
                      <c:pt idx="14">
                        <c:v>0.2082581795487225</c:v>
                      </c:pt>
                      <c:pt idx="15">
                        <c:v>0.3430238734919433</c:v>
                      </c:pt>
                      <c:pt idx="16">
                        <c:v>0.47260540553682184</c:v>
                      </c:pt>
                      <c:pt idx="17">
                        <c:v>0.59821427937237748</c:v>
                      </c:pt>
                      <c:pt idx="18">
                        <c:v>0.72078005457206695</c:v>
                      </c:pt>
                      <c:pt idx="19">
                        <c:v>0.84100011441850675</c:v>
                      </c:pt>
                      <c:pt idx="20">
                        <c:v>0.95939414144184465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A-573D-4D58-9FA9-300533716AA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UCL</c:v>
                </c:tx>
                <c:spPr>
                  <a:ln w="15875" cap="rnd">
                    <a:solidFill>
                      <a:schemeClr val="tx1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'14-1'!$AI$3:$AI$23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-1.0358032834113367</c:v>
                      </c:pt>
                      <c:pt idx="1">
                        <c:v>-0.91838427624103169</c:v>
                      </c:pt>
                      <c:pt idx="2">
                        <c:v>-0.79940483864827261</c:v>
                      </c:pt>
                      <c:pt idx="3">
                        <c:v>-0.67843561023458143</c:v>
                      </c:pt>
                      <c:pt idx="4">
                        <c:v>-0.55490086178266507</c:v>
                      </c:pt>
                      <c:pt idx="5">
                        <c:v>-0.4280288061548303</c:v>
                      </c:pt>
                      <c:pt idx="6">
                        <c:v>-0.2967964413017154</c:v>
                      </c:pt>
                      <c:pt idx="7">
                        <c:v>-0.15988812840598382</c:v>
                      </c:pt>
                      <c:pt idx="8">
                        <c:v>-1.5713506109700071E-2</c:v>
                      </c:pt>
                      <c:pt idx="9">
                        <c:v>0.13744091611438883</c:v>
                      </c:pt>
                      <c:pt idx="10">
                        <c:v>0.30106912131460234</c:v>
                      </c:pt>
                      <c:pt idx="11">
                        <c:v>0.4759857441777835</c:v>
                      </c:pt>
                      <c:pt idx="12">
                        <c:v>0.66201081019196395</c:v>
                      </c:pt>
                      <c:pt idx="13">
                        <c:v>0.85804331590022076</c:v>
                      </c:pt>
                      <c:pt idx="14">
                        <c:v>1.0624628396375213</c:v>
                      </c:pt>
                      <c:pt idx="15">
                        <c:v>1.2735699392427018</c:v>
                      </c:pt>
                      <c:pt idx="16">
                        <c:v>1.4898612007462244</c:v>
                      </c:pt>
                      <c:pt idx="17">
                        <c:v>1.7101251204590702</c:v>
                      </c:pt>
                      <c:pt idx="18">
                        <c:v>1.933432138807782</c:v>
                      </c:pt>
                      <c:pt idx="19">
                        <c:v>2.1590848725097431</c:v>
                      </c:pt>
                      <c:pt idx="20">
                        <c:v>2.3865636390348071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73D-4D58-9FA9-300533716AA7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LPL</c:v>
                </c:tx>
                <c:spPr>
                  <a:ln w="15875" cap="rnd">
                    <a:solidFill>
                      <a:schemeClr val="tx1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'14-1'!$AJ$3:$AJ$23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-2.8573775032831588</c:v>
                      </c:pt>
                      <c:pt idx="1">
                        <c:v>-2.6669205079731726</c:v>
                      </c:pt>
                      <c:pt idx="2">
                        <c:v>-2.4779945296979342</c:v>
                      </c:pt>
                      <c:pt idx="3">
                        <c:v>-2.2906713094770534</c:v>
                      </c:pt>
                      <c:pt idx="4">
                        <c:v>-2.1050192716927101</c:v>
                      </c:pt>
                      <c:pt idx="5">
                        <c:v>-1.9211021666067603</c:v>
                      </c:pt>
                      <c:pt idx="6">
                        <c:v>-1.7389776762151543</c:v>
                      </c:pt>
                      <c:pt idx="7">
                        <c:v>-1.5586960428237988</c:v>
                      </c:pt>
                      <c:pt idx="8">
                        <c:v>-1.3802987877264066</c:v>
                      </c:pt>
                      <c:pt idx="9">
                        <c:v>-1.2038175903416597</c:v>
                      </c:pt>
                      <c:pt idx="10">
                        <c:v>-1.029273394848468</c:v>
                      </c:pt>
                      <c:pt idx="11">
                        <c:v>-0.85667580123984788</c:v>
                      </c:pt>
                      <c:pt idx="12">
                        <c:v>-0.6860227813032983</c:v>
                      </c:pt>
                      <c:pt idx="13">
                        <c:v>-0.51730073888374117</c:v>
                      </c:pt>
                      <c:pt idx="14">
                        <c:v>-0.35048491029773265</c:v>
                      </c:pt>
                      <c:pt idx="15">
                        <c:v>-0.18554007778254</c:v>
                      </c:pt>
                      <c:pt idx="16">
                        <c:v>-2.2421549124314599E-2</c:v>
                      </c:pt>
                      <c:pt idx="17">
                        <c:v>0.13892365773788118</c:v>
                      </c:pt>
                      <c:pt idx="18">
                        <c:v>0.29855549409074555</c:v>
                      </c:pt>
                      <c:pt idx="19">
                        <c:v>0.45653949379194314</c:v>
                      </c:pt>
                      <c:pt idx="20">
                        <c:v>0.61294538566835377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73D-4D58-9FA9-300533716AA7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UPL</c:v>
                </c:tx>
                <c:spPr>
                  <a:ln w="15875" cap="rnd">
                    <a:solidFill>
                      <a:schemeClr val="tx1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'14-1'!$AK$3:$AK$23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-0.71412058720821414</c:v>
                      </c:pt>
                      <c:pt idx="1">
                        <c:v>-0.55870478896979892</c:v>
                      </c:pt>
                      <c:pt idx="2">
                        <c:v>-0.40175797369663591</c:v>
                      </c:pt>
                      <c:pt idx="3">
                        <c:v>-0.24320840036911573</c:v>
                      </c:pt>
                      <c:pt idx="4">
                        <c:v>-8.298764460505792E-2</c:v>
                      </c:pt>
                      <c:pt idx="5">
                        <c:v>7.8968043857393422E-2</c:v>
                      </c:pt>
                      <c:pt idx="6">
                        <c:v>0.24271634701418865</c:v>
                      </c:pt>
                      <c:pt idx="7">
                        <c:v>0.40830750717123432</c:v>
                      </c:pt>
                      <c:pt idx="8">
                        <c:v>0.57578304562224336</c:v>
                      </c:pt>
                      <c:pt idx="9">
                        <c:v>0.74517464178589754</c:v>
                      </c:pt>
                      <c:pt idx="10">
                        <c:v>0.91650323984110726</c:v>
                      </c:pt>
                      <c:pt idx="11">
                        <c:v>1.0897784397808883</c:v>
                      </c:pt>
                      <c:pt idx="12">
                        <c:v>1.2649982133927398</c:v>
                      </c:pt>
                      <c:pt idx="13">
                        <c:v>1.4421489645215839</c:v>
                      </c:pt>
                      <c:pt idx="14">
                        <c:v>1.6212059294839767</c:v>
                      </c:pt>
                      <c:pt idx="15">
                        <c:v>1.8021338905171851</c:v>
                      </c:pt>
                      <c:pt idx="16">
                        <c:v>1.984888155407361</c:v>
                      </c:pt>
                      <c:pt idx="17">
                        <c:v>2.1694157420935665</c:v>
                      </c:pt>
                      <c:pt idx="18">
                        <c:v>2.3556566992891033</c:v>
                      </c:pt>
                      <c:pt idx="19">
                        <c:v>2.5435454931363068</c:v>
                      </c:pt>
                      <c:pt idx="20">
                        <c:v>2.7330123948082976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73D-4D58-9FA9-300533716AA7}"/>
                  </c:ext>
                </c:extLst>
              </c15:ser>
            </c15:filteredScatterSeries>
          </c:ext>
        </c:extLst>
      </c:scatterChart>
      <c:valAx>
        <c:axId val="72078890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708768"/>
        <c:crossesAt val="-2"/>
        <c:crossBetween val="midCat"/>
        <c:majorUnit val="1"/>
        <c:minorUnit val="0.5"/>
      </c:valAx>
      <c:valAx>
        <c:axId val="50270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88904"/>
        <c:crossesAt val="-2"/>
        <c:crossBetween val="midCat"/>
        <c:majorUnit val="1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alpha val="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65835520559933E-2"/>
          <c:y val="3.8142497812773402E-2"/>
          <c:w val="0.87543416447944011"/>
          <c:h val="0.9237150043744532"/>
        </c:manualLayout>
      </c:layout>
      <c:scatterChart>
        <c:scatterStyle val="lineMarker"/>
        <c:varyColors val="0"/>
        <c:ser>
          <c:idx val="0"/>
          <c:order val="0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'14-1'!$B$3:$B$17</c:f>
              <c:numCache>
                <c:formatCode>0.000</c:formatCode>
                <c:ptCount val="15"/>
                <c:pt idx="0">
                  <c:v>0.87689956324086149</c:v>
                </c:pt>
                <c:pt idx="1">
                  <c:v>-0.38928413790569766</c:v>
                </c:pt>
                <c:pt idx="2">
                  <c:v>-1.0587450947885062</c:v>
                </c:pt>
                <c:pt idx="3">
                  <c:v>-1.5072974059393618</c:v>
                </c:pt>
                <c:pt idx="4">
                  <c:v>-0.27074779141538152</c:v>
                </c:pt>
                <c:pt idx="5">
                  <c:v>-1.4763163153793926</c:v>
                </c:pt>
                <c:pt idx="6">
                  <c:v>1.6164047248679478</c:v>
                </c:pt>
                <c:pt idx="7">
                  <c:v>0.36907907884484786</c:v>
                </c:pt>
                <c:pt idx="8">
                  <c:v>1.6729788902383258</c:v>
                </c:pt>
                <c:pt idx="9">
                  <c:v>5.9268173245157846E-2</c:v>
                </c:pt>
                <c:pt idx="10">
                  <c:v>0.13200638586421556</c:v>
                </c:pt>
                <c:pt idx="11">
                  <c:v>-0.52129052376991336</c:v>
                </c:pt>
                <c:pt idx="12">
                  <c:v>1.1638114019049224</c:v>
                </c:pt>
                <c:pt idx="13">
                  <c:v>-0.42430624027783659</c:v>
                </c:pt>
                <c:pt idx="14">
                  <c:v>-0.2424607087301924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E3-4E64-B05F-56F8EAFD8494}"/>
            </c:ext>
          </c:extLst>
        </c:ser>
        <c:ser>
          <c:idx val="1"/>
          <c:order val="1"/>
          <c:tx>
            <c:v>R2=1 Line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('14-1'!$AE$3,'14-1'!$AE$23)</c:f>
              <c:numCache>
                <c:formatCode>0.000</c:formatCode>
                <c:ptCount val="2"/>
                <c:pt idx="0">
                  <c:v>-1.7857490452456863</c:v>
                </c:pt>
                <c:pt idx="1">
                  <c:v>1.6729788902383258</c:v>
                </c:pt>
              </c:numCache>
            </c:numRef>
          </c:xVal>
          <c:yVal>
            <c:numRef>
              <c:f>('14-1'!$AE$3,'14-1'!$AE$23)</c:f>
              <c:numCache>
                <c:formatCode>0.000</c:formatCode>
                <c:ptCount val="2"/>
                <c:pt idx="0">
                  <c:v>-1.7857490452456863</c:v>
                </c:pt>
                <c:pt idx="1">
                  <c:v>1.6729788902383258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7E3-4E64-B05F-56F8EAFD8494}"/>
            </c:ext>
          </c:extLst>
        </c:ser>
        <c:ser>
          <c:idx val="2"/>
          <c:order val="2"/>
          <c:tx>
            <c:v>LCL</c:v>
          </c:tx>
          <c:spPr>
            <a:ln w="158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'14-1'!$AH$3:$AH$23</c:f>
              <c:numCache>
                <c:formatCode>0.000</c:formatCode>
                <c:ptCount val="21"/>
                <c:pt idx="0">
                  <c:v>-2.535694807080036</c:v>
                </c:pt>
                <c:pt idx="1">
                  <c:v>-2.30724102070194</c:v>
                </c:pt>
                <c:pt idx="2">
                  <c:v>-2.0803476647462977</c:v>
                </c:pt>
                <c:pt idx="3">
                  <c:v>-1.8554440996115877</c:v>
                </c:pt>
                <c:pt idx="4">
                  <c:v>-1.6331060545151028</c:v>
                </c:pt>
                <c:pt idx="5">
                  <c:v>-1.4141053165945365</c:v>
                </c:pt>
                <c:pt idx="6">
                  <c:v>-1.1994648878992502</c:v>
                </c:pt>
                <c:pt idx="7">
                  <c:v>-0.99050040724658062</c:v>
                </c:pt>
                <c:pt idx="8">
                  <c:v>-0.78880223599446331</c:v>
                </c:pt>
                <c:pt idx="9">
                  <c:v>-0.59608386467015095</c:v>
                </c:pt>
                <c:pt idx="10">
                  <c:v>-0.41383927632196321</c:v>
                </c:pt>
                <c:pt idx="11">
                  <c:v>-0.24288310563674317</c:v>
                </c:pt>
                <c:pt idx="12">
                  <c:v>-8.3035378102522373E-2</c:v>
                </c:pt>
                <c:pt idx="13">
                  <c:v>6.6804909737621931E-2</c:v>
                </c:pt>
                <c:pt idx="14">
                  <c:v>0.2082581795487225</c:v>
                </c:pt>
                <c:pt idx="15">
                  <c:v>0.3430238734919433</c:v>
                </c:pt>
                <c:pt idx="16">
                  <c:v>0.47260540553682184</c:v>
                </c:pt>
                <c:pt idx="17">
                  <c:v>0.59821427937237748</c:v>
                </c:pt>
                <c:pt idx="18">
                  <c:v>0.72078005457206695</c:v>
                </c:pt>
                <c:pt idx="19">
                  <c:v>0.84100011441850675</c:v>
                </c:pt>
                <c:pt idx="20">
                  <c:v>0.95939414144184465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57E3-4E64-B05F-56F8EAFD8494}"/>
            </c:ext>
          </c:extLst>
        </c:ser>
        <c:ser>
          <c:idx val="3"/>
          <c:order val="3"/>
          <c:tx>
            <c:v>UCL</c:v>
          </c:tx>
          <c:spPr>
            <a:ln w="158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'14-1'!$AI$3:$AI$23</c:f>
              <c:numCache>
                <c:formatCode>0.000</c:formatCode>
                <c:ptCount val="21"/>
                <c:pt idx="0">
                  <c:v>-1.0358032834113367</c:v>
                </c:pt>
                <c:pt idx="1">
                  <c:v>-0.91838427624103169</c:v>
                </c:pt>
                <c:pt idx="2">
                  <c:v>-0.79940483864827261</c:v>
                </c:pt>
                <c:pt idx="3">
                  <c:v>-0.67843561023458143</c:v>
                </c:pt>
                <c:pt idx="4">
                  <c:v>-0.55490086178266507</c:v>
                </c:pt>
                <c:pt idx="5">
                  <c:v>-0.4280288061548303</c:v>
                </c:pt>
                <c:pt idx="6">
                  <c:v>-0.2967964413017154</c:v>
                </c:pt>
                <c:pt idx="7">
                  <c:v>-0.15988812840598382</c:v>
                </c:pt>
                <c:pt idx="8">
                  <c:v>-1.5713506109700071E-2</c:v>
                </c:pt>
                <c:pt idx="9">
                  <c:v>0.13744091611438883</c:v>
                </c:pt>
                <c:pt idx="10">
                  <c:v>0.30106912131460234</c:v>
                </c:pt>
                <c:pt idx="11">
                  <c:v>0.4759857441777835</c:v>
                </c:pt>
                <c:pt idx="12">
                  <c:v>0.66201081019196395</c:v>
                </c:pt>
                <c:pt idx="13">
                  <c:v>0.85804331590022076</c:v>
                </c:pt>
                <c:pt idx="14">
                  <c:v>1.0624628396375213</c:v>
                </c:pt>
                <c:pt idx="15">
                  <c:v>1.2735699392427018</c:v>
                </c:pt>
                <c:pt idx="16">
                  <c:v>1.4898612007462244</c:v>
                </c:pt>
                <c:pt idx="17">
                  <c:v>1.7101251204590702</c:v>
                </c:pt>
                <c:pt idx="18">
                  <c:v>1.933432138807782</c:v>
                </c:pt>
                <c:pt idx="19">
                  <c:v>2.1590848725097431</c:v>
                </c:pt>
                <c:pt idx="20">
                  <c:v>2.3865636390348071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3-57E3-4E64-B05F-56F8EAFD8494}"/>
            </c:ext>
          </c:extLst>
        </c:ser>
        <c:ser>
          <c:idx val="4"/>
          <c:order val="4"/>
          <c:tx>
            <c:v>LPL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'14-1'!$AJ$3:$AJ$23</c:f>
              <c:numCache>
                <c:formatCode>0.000</c:formatCode>
                <c:ptCount val="21"/>
                <c:pt idx="0">
                  <c:v>-2.8573775032831588</c:v>
                </c:pt>
                <c:pt idx="1">
                  <c:v>-2.6669205079731726</c:v>
                </c:pt>
                <c:pt idx="2">
                  <c:v>-2.4779945296979342</c:v>
                </c:pt>
                <c:pt idx="3">
                  <c:v>-2.2906713094770534</c:v>
                </c:pt>
                <c:pt idx="4">
                  <c:v>-2.1050192716927101</c:v>
                </c:pt>
                <c:pt idx="5">
                  <c:v>-1.9211021666067603</c:v>
                </c:pt>
                <c:pt idx="6">
                  <c:v>-1.7389776762151543</c:v>
                </c:pt>
                <c:pt idx="7">
                  <c:v>-1.5586960428237988</c:v>
                </c:pt>
                <c:pt idx="8">
                  <c:v>-1.3802987877264066</c:v>
                </c:pt>
                <c:pt idx="9">
                  <c:v>-1.2038175903416597</c:v>
                </c:pt>
                <c:pt idx="10">
                  <c:v>-1.029273394848468</c:v>
                </c:pt>
                <c:pt idx="11">
                  <c:v>-0.85667580123984788</c:v>
                </c:pt>
                <c:pt idx="12">
                  <c:v>-0.6860227813032983</c:v>
                </c:pt>
                <c:pt idx="13">
                  <c:v>-0.51730073888374117</c:v>
                </c:pt>
                <c:pt idx="14">
                  <c:v>-0.35048491029773265</c:v>
                </c:pt>
                <c:pt idx="15">
                  <c:v>-0.18554007778254</c:v>
                </c:pt>
                <c:pt idx="16">
                  <c:v>-2.2421549124314599E-2</c:v>
                </c:pt>
                <c:pt idx="17">
                  <c:v>0.13892365773788118</c:v>
                </c:pt>
                <c:pt idx="18">
                  <c:v>0.29855549409074555</c:v>
                </c:pt>
                <c:pt idx="19">
                  <c:v>0.45653949379194314</c:v>
                </c:pt>
                <c:pt idx="20">
                  <c:v>0.61294538566835377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4-57E3-4E64-B05F-56F8EAFD8494}"/>
            </c:ext>
          </c:extLst>
        </c:ser>
        <c:ser>
          <c:idx val="5"/>
          <c:order val="5"/>
          <c:tx>
            <c:v>UPL</c:v>
          </c:tx>
          <c:spPr>
            <a:ln w="158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'14-1'!$AE$3:$AE$23</c:f>
              <c:numCache>
                <c:formatCode>0.000</c:formatCode>
                <c:ptCount val="21"/>
                <c:pt idx="0">
                  <c:v>-1.7857490452456863</c:v>
                </c:pt>
                <c:pt idx="1">
                  <c:v>-1.6128126484714858</c:v>
                </c:pt>
                <c:pt idx="2">
                  <c:v>-1.4398762516972852</c:v>
                </c:pt>
                <c:pt idx="3">
                  <c:v>-1.2669398549230846</c:v>
                </c:pt>
                <c:pt idx="4">
                  <c:v>-1.094003458148884</c:v>
                </c:pt>
                <c:pt idx="5">
                  <c:v>-0.92106706137468342</c:v>
                </c:pt>
                <c:pt idx="6">
                  <c:v>-0.74813066460048283</c:v>
                </c:pt>
                <c:pt idx="7">
                  <c:v>-0.57519426782628225</c:v>
                </c:pt>
                <c:pt idx="8">
                  <c:v>-0.40225787105208166</c:v>
                </c:pt>
                <c:pt idx="9">
                  <c:v>-0.22932147427788105</c:v>
                </c:pt>
                <c:pt idx="10">
                  <c:v>-5.6385077503680436E-2</c:v>
                </c:pt>
                <c:pt idx="11">
                  <c:v>0.11655131927052018</c:v>
                </c:pt>
                <c:pt idx="12">
                  <c:v>0.28948771604472079</c:v>
                </c:pt>
                <c:pt idx="13">
                  <c:v>0.46242411281892137</c:v>
                </c:pt>
                <c:pt idx="14">
                  <c:v>0.63536050959312196</c:v>
                </c:pt>
                <c:pt idx="15">
                  <c:v>0.80829690636732254</c:v>
                </c:pt>
                <c:pt idx="16">
                  <c:v>0.98123330314152313</c:v>
                </c:pt>
                <c:pt idx="17">
                  <c:v>1.1541696999157238</c:v>
                </c:pt>
                <c:pt idx="18">
                  <c:v>1.3271060966899244</c:v>
                </c:pt>
                <c:pt idx="19">
                  <c:v>1.500042493464125</c:v>
                </c:pt>
                <c:pt idx="20">
                  <c:v>1.6729788902383258</c:v>
                </c:pt>
              </c:numCache>
              <c:extLst xmlns:c15="http://schemas.microsoft.com/office/drawing/2012/chart"/>
            </c:numRef>
          </c:xVal>
          <c:yVal>
            <c:numRef>
              <c:f>'14-1'!$AK$3:$AK$23</c:f>
              <c:numCache>
                <c:formatCode>0.000</c:formatCode>
                <c:ptCount val="21"/>
                <c:pt idx="0">
                  <c:v>-0.71412058720821414</c:v>
                </c:pt>
                <c:pt idx="1">
                  <c:v>-0.55870478896979892</c:v>
                </c:pt>
                <c:pt idx="2">
                  <c:v>-0.40175797369663591</c:v>
                </c:pt>
                <c:pt idx="3">
                  <c:v>-0.24320840036911573</c:v>
                </c:pt>
                <c:pt idx="4">
                  <c:v>-8.298764460505792E-2</c:v>
                </c:pt>
                <c:pt idx="5">
                  <c:v>7.8968043857393422E-2</c:v>
                </c:pt>
                <c:pt idx="6">
                  <c:v>0.24271634701418865</c:v>
                </c:pt>
                <c:pt idx="7">
                  <c:v>0.40830750717123432</c:v>
                </c:pt>
                <c:pt idx="8">
                  <c:v>0.57578304562224336</c:v>
                </c:pt>
                <c:pt idx="9">
                  <c:v>0.74517464178589754</c:v>
                </c:pt>
                <c:pt idx="10">
                  <c:v>0.91650323984110726</c:v>
                </c:pt>
                <c:pt idx="11">
                  <c:v>1.0897784397808883</c:v>
                </c:pt>
                <c:pt idx="12">
                  <c:v>1.2649982133927398</c:v>
                </c:pt>
                <c:pt idx="13">
                  <c:v>1.4421489645215839</c:v>
                </c:pt>
                <c:pt idx="14">
                  <c:v>1.6212059294839767</c:v>
                </c:pt>
                <c:pt idx="15">
                  <c:v>1.8021338905171851</c:v>
                </c:pt>
                <c:pt idx="16">
                  <c:v>1.984888155407361</c:v>
                </c:pt>
                <c:pt idx="17">
                  <c:v>2.1694157420935665</c:v>
                </c:pt>
                <c:pt idx="18">
                  <c:v>2.3556566992891033</c:v>
                </c:pt>
                <c:pt idx="19">
                  <c:v>2.5435454931363068</c:v>
                </c:pt>
                <c:pt idx="20">
                  <c:v>2.7330123948082976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5-57E3-4E64-B05F-56F8EAFD8494}"/>
            </c:ext>
          </c:extLst>
        </c:ser>
        <c:ser>
          <c:idx val="14"/>
          <c:order val="8"/>
          <c:tx>
            <c:v>Act LPL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'14-1'!$AB$3:$AB$17</c:f>
              <c:numCache>
                <c:formatCode>0.000</c:formatCode>
                <c:ptCount val="15"/>
                <c:pt idx="0">
                  <c:v>3.5337699746554097E-2</c:v>
                </c:pt>
                <c:pt idx="1">
                  <c:v>-0.89744086344364982</c:v>
                </c:pt>
                <c:pt idx="2">
                  <c:v>-2.249866832570488</c:v>
                </c:pt>
                <c:pt idx="3">
                  <c:v>-2.2615701049701489</c:v>
                </c:pt>
                <c:pt idx="4">
                  <c:v>-1.2580850572578115</c:v>
                </c:pt>
                <c:pt idx="5">
                  <c:v>-2.8945707551319702</c:v>
                </c:pt>
                <c:pt idx="6">
                  <c:v>0.34906648188727707</c:v>
                </c:pt>
                <c:pt idx="7">
                  <c:v>-1.0295815862434712</c:v>
                </c:pt>
                <c:pt idx="8">
                  <c:v>0.40866646591605682</c:v>
                </c:pt>
                <c:pt idx="9">
                  <c:v>-0.89639769314973639</c:v>
                </c:pt>
                <c:pt idx="10">
                  <c:v>-1.0595405141258143</c:v>
                </c:pt>
                <c:pt idx="11">
                  <c:v>-1.4347278203559943</c:v>
                </c:pt>
                <c:pt idx="12">
                  <c:v>-6.9908274296389017E-2</c:v>
                </c:pt>
                <c:pt idx="13">
                  <c:v>-0.63532475603531624</c:v>
                </c:pt>
                <c:pt idx="14">
                  <c:v>-1.0881762138250899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7E3-4E64-B05F-56F8EAFD8494}"/>
            </c:ext>
          </c:extLst>
        </c:ser>
        <c:ser>
          <c:idx val="12"/>
          <c:order val="6"/>
          <c:tx>
            <c:v>Act LCL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'14-1'!$Z$3:$Z$17</c:f>
              <c:numCache>
                <c:formatCode>0.000</c:formatCode>
                <c:ptCount val="15"/>
                <c:pt idx="0">
                  <c:v>0.62186088248835691</c:v>
                </c:pt>
                <c:pt idx="1">
                  <c:v>-0.42302324383062639</c:v>
                </c:pt>
                <c:pt idx="2">
                  <c:v>-1.7776277903023638</c:v>
                </c:pt>
                <c:pt idx="3">
                  <c:v>-1.8058754525163541</c:v>
                </c:pt>
                <c:pt idx="4">
                  <c:v>-0.72726171750457114</c:v>
                </c:pt>
                <c:pt idx="5">
                  <c:v>-2.4779559533808069</c:v>
                </c:pt>
                <c:pt idx="6">
                  <c:v>0.83432741491779316</c:v>
                </c:pt>
                <c:pt idx="7">
                  <c:v>-0.45614491042931471</c:v>
                </c:pt>
                <c:pt idx="8">
                  <c:v>0.8571415571613773</c:v>
                </c:pt>
                <c:pt idx="9">
                  <c:v>-0.3059861710505653</c:v>
                </c:pt>
                <c:pt idx="10">
                  <c:v>-0.52360793420608687</c:v>
                </c:pt>
                <c:pt idx="11">
                  <c:v>-0.83369612691809714</c:v>
                </c:pt>
                <c:pt idx="12">
                  <c:v>0.41448085615815888</c:v>
                </c:pt>
                <c:pt idx="13">
                  <c:v>-0.10240029632246295</c:v>
                </c:pt>
                <c:pt idx="14">
                  <c:v>-0.61588731216452275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7E3-4E64-B05F-56F8EAFD8494}"/>
            </c:ext>
          </c:extLst>
        </c:ser>
        <c:ser>
          <c:idx val="13"/>
          <c:order val="7"/>
          <c:tx>
            <c:v>Act UCL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'14-1'!$AA$3:$AA$17</c:f>
              <c:numCache>
                <c:formatCode>0.000</c:formatCode>
                <c:ptCount val="15"/>
                <c:pt idx="0">
                  <c:v>1.31463100429692</c:v>
                </c:pt>
                <c:pt idx="1">
                  <c:v>0.6841512815892391</c:v>
                </c:pt>
                <c:pt idx="2">
                  <c:v>-0.6609783386387641</c:v>
                </c:pt>
                <c:pt idx="3">
                  <c:v>-0.61499563541075608</c:v>
                </c:pt>
                <c:pt idx="4">
                  <c:v>0.15544581912370115</c:v>
                </c:pt>
                <c:pt idx="5">
                  <c:v>-1.0935421371105656</c:v>
                </c:pt>
                <c:pt idx="6">
                  <c:v>1.8953174359033378</c:v>
                </c:pt>
                <c:pt idx="7">
                  <c:v>0.27890671297430158</c:v>
                </c:pt>
                <c:pt idx="8">
                  <c:v>2.0817475250260218</c:v>
                </c:pt>
                <c:pt idx="9">
                  <c:v>0.37447042605191699</c:v>
                </c:pt>
                <c:pt idx="10">
                  <c:v>0.34051465840641926</c:v>
                </c:pt>
                <c:pt idx="11">
                  <c:v>-0.1863158167339436</c:v>
                </c:pt>
                <c:pt idx="12">
                  <c:v>1.4791256190551181</c:v>
                </c:pt>
                <c:pt idx="13">
                  <c:v>0.77263310172457988</c:v>
                </c:pt>
                <c:pt idx="14">
                  <c:v>0.50054454164255135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7E3-4E64-B05F-56F8EAFD8494}"/>
            </c:ext>
          </c:extLst>
        </c:ser>
        <c:ser>
          <c:idx val="15"/>
          <c:order val="9"/>
          <c:tx>
            <c:v>Act UPL</c:v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00B0F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'14-1'!$C$3:$C$17</c:f>
              <c:numCache>
                <c:formatCode>0.000</c:formatCode>
                <c:ptCount val="15"/>
                <c:pt idx="0">
                  <c:v>0.96824594339263848</c:v>
                </c:pt>
                <c:pt idx="1">
                  <c:v>0.13056401887930635</c:v>
                </c:pt>
                <c:pt idx="2">
                  <c:v>-1.219303064470564</c:v>
                </c:pt>
                <c:pt idx="3">
                  <c:v>-1.210435543963555</c:v>
                </c:pt>
                <c:pt idx="4">
                  <c:v>-0.285907949190435</c:v>
                </c:pt>
                <c:pt idx="5">
                  <c:v>-1.7857490452456863</c:v>
                </c:pt>
                <c:pt idx="6">
                  <c:v>1.3648224254105654</c:v>
                </c:pt>
                <c:pt idx="7">
                  <c:v>-8.8619098727506562E-2</c:v>
                </c:pt>
                <c:pt idx="8">
                  <c:v>1.4694445410936996</c:v>
                </c:pt>
                <c:pt idx="9">
                  <c:v>3.4242127500675845E-2</c:v>
                </c:pt>
                <c:pt idx="10">
                  <c:v>-9.1546637899833805E-2</c:v>
                </c:pt>
                <c:pt idx="11">
                  <c:v>-0.51000597182602037</c:v>
                </c:pt>
                <c:pt idx="12">
                  <c:v>0.94680323760663843</c:v>
                </c:pt>
                <c:pt idx="13">
                  <c:v>0.33511640270105847</c:v>
                </c:pt>
                <c:pt idx="14">
                  <c:v>-5.7671385260985697E-2</c:v>
                </c:pt>
              </c:numCache>
            </c:numRef>
          </c:xVal>
          <c:yVal>
            <c:numRef>
              <c:f>'14-1'!$AC$3:$AC$17</c:f>
              <c:numCache>
                <c:formatCode>0.000</c:formatCode>
                <c:ptCount val="15"/>
                <c:pt idx="0">
                  <c:v>1.9011541870387227</c:v>
                </c:pt>
                <c:pt idx="1">
                  <c:v>1.1585689012022624</c:v>
                </c:pt>
                <c:pt idx="2">
                  <c:v>-0.18873929637064002</c:v>
                </c:pt>
                <c:pt idx="3">
                  <c:v>-0.15930098295696116</c:v>
                </c:pt>
                <c:pt idx="4">
                  <c:v>0.6862691588769414</c:v>
                </c:pt>
                <c:pt idx="5">
                  <c:v>-0.6769273353594023</c:v>
                </c:pt>
                <c:pt idx="6">
                  <c:v>2.380578368933854</c:v>
                </c:pt>
                <c:pt idx="7">
                  <c:v>0.85234338878845795</c:v>
                </c:pt>
                <c:pt idx="8">
                  <c:v>2.5302226162713426</c:v>
                </c:pt>
                <c:pt idx="9">
                  <c:v>0.96488194815108819</c:v>
                </c:pt>
                <c:pt idx="10">
                  <c:v>0.87644723832614657</c:v>
                </c:pt>
                <c:pt idx="11">
                  <c:v>0.41471587670395349</c:v>
                </c:pt>
                <c:pt idx="12">
                  <c:v>1.9635147495096659</c:v>
                </c:pt>
                <c:pt idx="13">
                  <c:v>1.3055575614374333</c:v>
                </c:pt>
                <c:pt idx="14">
                  <c:v>0.97283344330311861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7E3-4E64-B05F-56F8EAFD8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88904"/>
        <c:axId val="502708768"/>
        <c:extLst>
          <c:ext xmlns:c15="http://schemas.microsoft.com/office/drawing/2012/chart" uri="{02D57815-91ED-43cb-92C2-25804820EDAC}">
            <c15:filteredScatterSeries>
              <c15:ser>
                <c:idx val="16"/>
                <c:order val="10"/>
                <c:tx>
                  <c:v>LCL y</c:v>
                </c:tx>
                <c:spPr>
                  <a:ln w="15875" cap="rnd">
                    <a:solidFill>
                      <a:srgbClr val="FF0000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'14-1'!$AO$3:$AO$23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-2.2557837272607957</c:v>
                      </c:pt>
                      <c:pt idx="1">
                        <c:v>-2.0480513493679764</c:v>
                      </c:pt>
                      <c:pt idx="2">
                        <c:v>-1.8412969840925375</c:v>
                      </c:pt>
                      <c:pt idx="3">
                        <c:v>-1.635789736599998</c:v>
                      </c:pt>
                      <c:pt idx="4">
                        <c:v>-1.4318904499184122</c:v>
                      </c:pt>
                      <c:pt idx="5">
                        <c:v>-1.2300828479919781</c:v>
                      </c:pt>
                      <c:pt idx="6">
                        <c:v>-1.0310081057795306</c:v>
                      </c:pt>
                      <c:pt idx="7">
                        <c:v>-0.83549081074408971</c:v>
                      </c:pt>
                      <c:pt idx="8">
                        <c:v>-0.64452773496332916</c:v>
                      </c:pt>
                      <c:pt idx="9">
                        <c:v>-0.45919282273575823</c:v>
                      </c:pt>
                      <c:pt idx="10">
                        <c:v>-0.28042244023982599</c:v>
                      </c:pt>
                      <c:pt idx="11">
                        <c:v>-0.10872716647400843</c:v>
                      </c:pt>
                      <c:pt idx="12">
                        <c:v>5.600579906915637E-2</c:v>
                      </c:pt>
                      <c:pt idx="13">
                        <c:v>0.21446651937303191</c:v>
                      </c:pt>
                      <c:pt idx="14">
                        <c:v>0.36767060706031129</c:v>
                      </c:pt>
                      <c:pt idx="15">
                        <c:v>0.5166832015003695</c:v>
                      </c:pt>
                      <c:pt idx="16">
                        <c:v>0.6624465797791923</c:v>
                      </c:pt>
                      <c:pt idx="17">
                        <c:v>0.80572006181057654</c:v>
                      </c:pt>
                      <c:pt idx="18">
                        <c:v>0.94708625671208724</c:v>
                      </c:pt>
                      <c:pt idx="19">
                        <c:v>1.0869822551990387</c:v>
                      </c:pt>
                      <c:pt idx="20">
                        <c:v>1.2257337725767745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A-57E3-4E64-B05F-56F8EAFD8494}"/>
                  </c:ext>
                </c:extLst>
              </c15:ser>
            </c15:filteredScatterSeries>
            <c15:filteredScatterSeries>
              <c15:ser>
                <c:idx val="17"/>
                <c:order val="11"/>
                <c:tx>
                  <c:v>UCL y</c:v>
                </c:tx>
                <c:spPr>
                  <a:ln w="15875" cap="rnd">
                    <a:solidFill>
                      <a:srgbClr val="FF0000"/>
                    </a:solidFill>
                    <a:prstDash val="sysDot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'14-1'!$AP$3:$AP$23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-1.315714363230577</c:v>
                      </c:pt>
                      <c:pt idx="1">
                        <c:v>-1.1775739475749951</c:v>
                      </c:pt>
                      <c:pt idx="2">
                        <c:v>-1.0384555193020328</c:v>
                      </c:pt>
                      <c:pt idx="3">
                        <c:v>-0.89808997324617112</c:v>
                      </c:pt>
                      <c:pt idx="4">
                        <c:v>-0.75611646637935581</c:v>
                      </c:pt>
                      <c:pt idx="5">
                        <c:v>-0.61205127475738874</c:v>
                      </c:pt>
                      <c:pt idx="6">
                        <c:v>-0.46525322342143499</c:v>
                      </c:pt>
                      <c:pt idx="7">
                        <c:v>-0.31489772490847479</c:v>
                      </c:pt>
                      <c:pt idx="8">
                        <c:v>-0.15998800714083422</c:v>
                      </c:pt>
                      <c:pt idx="9">
                        <c:v>5.498741799961071E-4</c:v>
                      </c:pt>
                      <c:pt idx="10">
                        <c:v>0.16765228523246509</c:v>
                      </c:pt>
                      <c:pt idx="11">
                        <c:v>0.34182980501504878</c:v>
                      </c:pt>
                      <c:pt idx="12">
                        <c:v>0.52296963302028521</c:v>
                      </c:pt>
                      <c:pt idx="13">
                        <c:v>0.71038170626481079</c:v>
                      </c:pt>
                      <c:pt idx="14">
                        <c:v>0.90305041212593262</c:v>
                      </c:pt>
                      <c:pt idx="15">
                        <c:v>1.0999106112342756</c:v>
                      </c:pt>
                      <c:pt idx="16">
                        <c:v>1.300020026503854</c:v>
                      </c:pt>
                      <c:pt idx="17">
                        <c:v>1.502619338020871</c:v>
                      </c:pt>
                      <c:pt idx="18">
                        <c:v>1.7071259366677616</c:v>
                      </c:pt>
                      <c:pt idx="19">
                        <c:v>1.9131027317292113</c:v>
                      </c:pt>
                      <c:pt idx="20">
                        <c:v>2.1202240078998771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7E3-4E64-B05F-56F8EAFD8494}"/>
                  </c:ext>
                </c:extLst>
              </c15:ser>
            </c15:filteredScatterSeries>
            <c15:filteredScatterSeries>
              <c15:ser>
                <c:idx val="18"/>
                <c:order val="12"/>
                <c:tx>
                  <c:v>LPL y</c:v>
                </c:tx>
                <c:spPr>
                  <a:ln w="15875" cap="rnd">
                    <a:solidFill>
                      <a:srgbClr val="FF00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'14-1'!$AQ$3:$AQ$23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-2.7712782345354832</c:v>
                      </c:pt>
                      <c:pt idx="1">
                        <c:v>-2.5822289199478954</c:v>
                      </c:pt>
                      <c:pt idx="2">
                        <c:v>-2.3945876138596405</c:v>
                      </c:pt>
                      <c:pt idx="3">
                        <c:v>-2.2084202933062898</c:v>
                      </c:pt>
                      <c:pt idx="4">
                        <c:v>-2.0237898851589904</c:v>
                      </c:pt>
                      <c:pt idx="5">
                        <c:v>-1.840755017707626</c:v>
                      </c:pt>
                      <c:pt idx="6">
                        <c:v>-1.6593687385269209</c:v>
                      </c:pt>
                      <c:pt idx="7">
                        <c:v>-1.4796772532384574</c:v>
                      </c:pt>
                      <c:pt idx="8">
                        <c:v>-1.3017187471354905</c:v>
                      </c:pt>
                      <c:pt idx="9">
                        <c:v>-1.1255223543750843</c:v>
                      </c:pt>
                      <c:pt idx="10">
                        <c:v>-0.95110733639016098</c:v>
                      </c:pt>
                      <c:pt idx="11">
                        <c:v>-0.77848252186874478</c:v>
                      </c:pt>
                      <c:pt idx="12">
                        <c:v>-0.60764604555370638</c:v>
                      </c:pt>
                      <c:pt idx="13">
                        <c:v>-0.43858540366391596</c:v>
                      </c:pt>
                      <c:pt idx="14">
                        <c:v>-0.27127782213744456</c:v>
                      </c:pt>
                      <c:pt idx="15">
                        <c:v>-0.10569091275905362</c:v>
                      </c:pt>
                      <c:pt idx="16">
                        <c:v>5.8216425919199288E-2</c:v>
                      </c:pt>
                      <c:pt idx="17">
                        <c:v>0.22049291915014912</c:v>
                      </c:pt>
                      <c:pt idx="18">
                        <c:v>0.38119370147462739</c:v>
                      </c:pt>
                      <c:pt idx="19">
                        <c:v>0.5403790414765185</c:v>
                      </c:pt>
                      <c:pt idx="20">
                        <c:v>0.69811306566693698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7E3-4E64-B05F-56F8EAFD8494}"/>
                  </c:ext>
                </c:extLst>
              </c15:ser>
            </c15:filteredScatterSeries>
            <c15:filteredScatterSeries>
              <c15:ser>
                <c:idx val="19"/>
                <c:order val="13"/>
                <c:tx>
                  <c:v>UPL y</c:v>
                </c:tx>
                <c:spPr>
                  <a:ln w="15875" cap="rnd">
                    <a:solidFill>
                      <a:srgbClr val="FF0000"/>
                    </a:solidFill>
                    <a:prstDash val="sysDash"/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'14-1'!$AE$3:$AE$23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-1.7857490452456863</c:v>
                      </c:pt>
                      <c:pt idx="1">
                        <c:v>-1.6128126484714858</c:v>
                      </c:pt>
                      <c:pt idx="2">
                        <c:v>-1.4398762516972852</c:v>
                      </c:pt>
                      <c:pt idx="3">
                        <c:v>-1.2669398549230846</c:v>
                      </c:pt>
                      <c:pt idx="4">
                        <c:v>-1.094003458148884</c:v>
                      </c:pt>
                      <c:pt idx="5">
                        <c:v>-0.92106706137468342</c:v>
                      </c:pt>
                      <c:pt idx="6">
                        <c:v>-0.74813066460048283</c:v>
                      </c:pt>
                      <c:pt idx="7">
                        <c:v>-0.57519426782628225</c:v>
                      </c:pt>
                      <c:pt idx="8">
                        <c:v>-0.40225787105208166</c:v>
                      </c:pt>
                      <c:pt idx="9">
                        <c:v>-0.22932147427788105</c:v>
                      </c:pt>
                      <c:pt idx="10">
                        <c:v>-5.6385077503680436E-2</c:v>
                      </c:pt>
                      <c:pt idx="11">
                        <c:v>0.11655131927052018</c:v>
                      </c:pt>
                      <c:pt idx="12">
                        <c:v>0.28948771604472079</c:v>
                      </c:pt>
                      <c:pt idx="13">
                        <c:v>0.46242411281892137</c:v>
                      </c:pt>
                      <c:pt idx="14">
                        <c:v>0.63536050959312196</c:v>
                      </c:pt>
                      <c:pt idx="15">
                        <c:v>0.80829690636732254</c:v>
                      </c:pt>
                      <c:pt idx="16">
                        <c:v>0.98123330314152313</c:v>
                      </c:pt>
                      <c:pt idx="17">
                        <c:v>1.1541696999157238</c:v>
                      </c:pt>
                      <c:pt idx="18">
                        <c:v>1.3271060966899244</c:v>
                      </c:pt>
                      <c:pt idx="19">
                        <c:v>1.500042493464125</c:v>
                      </c:pt>
                      <c:pt idx="20">
                        <c:v>1.6729788902383258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'14-1'!$AR$3:$AR$23</c15:sqref>
                        </c15:formulaRef>
                      </c:ext>
                    </c:extLst>
                    <c:numCache>
                      <c:formatCode>0.000</c:formatCode>
                      <c:ptCount val="21"/>
                      <c:pt idx="0">
                        <c:v>-0.80021985595588974</c:v>
                      </c:pt>
                      <c:pt idx="1">
                        <c:v>-0.64339637699507601</c:v>
                      </c:pt>
                      <c:pt idx="2">
                        <c:v>-0.48516488953492976</c:v>
                      </c:pt>
                      <c:pt idx="3">
                        <c:v>-0.32545941653987953</c:v>
                      </c:pt>
                      <c:pt idx="4">
                        <c:v>-0.1642170311387775</c:v>
                      </c:pt>
                      <c:pt idx="5">
                        <c:v>-1.3791050417408801E-3</c:v>
                      </c:pt>
                      <c:pt idx="6">
                        <c:v>0.16310740932595524</c:v>
                      </c:pt>
                      <c:pt idx="7">
                        <c:v>0.32928871758589284</c:v>
                      </c:pt>
                      <c:pt idx="8">
                        <c:v>0.49720300503132719</c:v>
                      </c:pt>
                      <c:pt idx="9">
                        <c:v>0.66687940581932226</c:v>
                      </c:pt>
                      <c:pt idx="10">
                        <c:v>0.8383371813828</c:v>
                      </c:pt>
                      <c:pt idx="11">
                        <c:v>1.0115851604097852</c:v>
                      </c:pt>
                      <c:pt idx="12">
                        <c:v>1.1866214776431478</c:v>
                      </c:pt>
                      <c:pt idx="13">
                        <c:v>1.3634336293017588</c:v>
                      </c:pt>
                      <c:pt idx="14">
                        <c:v>1.5419988413236885</c:v>
                      </c:pt>
                      <c:pt idx="15">
                        <c:v>1.7222847254936986</c:v>
                      </c:pt>
                      <c:pt idx="16">
                        <c:v>1.904250180363847</c:v>
                      </c:pt>
                      <c:pt idx="17">
                        <c:v>2.0878464806812986</c:v>
                      </c:pt>
                      <c:pt idx="18">
                        <c:v>2.2730184919052214</c:v>
                      </c:pt>
                      <c:pt idx="19">
                        <c:v>2.4597059454517316</c:v>
                      </c:pt>
                      <c:pt idx="20">
                        <c:v>2.6478447148097146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7E3-4E64-B05F-56F8EAFD8494}"/>
                  </c:ext>
                </c:extLst>
              </c15:ser>
            </c15:filteredScatterSeries>
          </c:ext>
        </c:extLst>
      </c:scatterChart>
      <c:valAx>
        <c:axId val="72078890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708768"/>
        <c:crossesAt val="-2"/>
        <c:crossBetween val="midCat"/>
        <c:majorUnit val="1"/>
        <c:minorUnit val="0.5"/>
      </c:valAx>
      <c:valAx>
        <c:axId val="50270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88904"/>
        <c:crossesAt val="-2"/>
        <c:crossBetween val="midCat"/>
        <c:majorUnit val="1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1">
        <a:alpha val="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17</xdr:row>
      <xdr:rowOff>0</xdr:rowOff>
    </xdr:from>
    <xdr:ext cx="2762250" cy="2762250"/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5CC19FB-D9CE-46CF-A579-7B96294578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14</xdr:col>
      <xdr:colOff>0</xdr:colOff>
      <xdr:row>17</xdr:row>
      <xdr:rowOff>0</xdr:rowOff>
    </xdr:from>
    <xdr:ext cx="2762250" cy="2762250"/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B9F107F-9D9B-462D-A8FB-0C87DCB2D41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noFill/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25400">
          <a:solidFill>
            <a:srgbClr val="FF0000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98314-5AF3-477A-ABD3-BCC79E31CE81}">
  <dimension ref="A1:BH74"/>
  <sheetViews>
    <sheetView showGridLines="0" tabSelected="1" zoomScaleNormal="100" workbookViewId="0">
      <pane ySplit="2" topLeftCell="A3" activePane="bottomLeft" state="frozen"/>
      <selection pane="bottomLeft" activeCell="V23" sqref="V23"/>
    </sheetView>
  </sheetViews>
  <sheetFormatPr defaultColWidth="5.44140625" defaultRowHeight="18" customHeight="1" x14ac:dyDescent="0.25"/>
  <cols>
    <col min="1" max="2" width="5.44140625" style="20" customWidth="1"/>
    <col min="3" max="20" width="5.44140625" style="1" customWidth="1"/>
    <col min="21" max="21" width="5.44140625" style="48" customWidth="1"/>
    <col min="22" max="22" width="5.5546875" style="1" customWidth="1"/>
    <col min="23" max="24" width="5.5546875" style="1" bestFit="1" customWidth="1"/>
    <col min="25" max="25" width="5.5546875" style="1" customWidth="1"/>
    <col min="26" max="30" width="5.33203125" style="104" customWidth="1"/>
    <col min="31" max="31" width="5.44140625" style="1" customWidth="1"/>
    <col min="32" max="36" width="5.44140625" style="1"/>
    <col min="37" max="37" width="5.44140625" style="1" customWidth="1"/>
    <col min="38" max="39" width="5.44140625" style="1"/>
    <col min="40" max="41" width="5.44140625" style="1" customWidth="1"/>
    <col min="42" max="50" width="5.44140625" style="1"/>
    <col min="51" max="51" width="3.109375" style="1" customWidth="1"/>
    <col min="52" max="16384" width="5.44140625" style="1"/>
  </cols>
  <sheetData>
    <row r="1" spans="1:44" ht="18" customHeight="1" x14ac:dyDescent="0.35">
      <c r="A1" s="145" t="s">
        <v>0</v>
      </c>
      <c r="D1" s="147" t="s">
        <v>6</v>
      </c>
      <c r="E1" s="148"/>
      <c r="F1" s="148"/>
      <c r="G1" s="148"/>
      <c r="H1" s="149"/>
      <c r="I1" s="46"/>
      <c r="J1" s="139" t="s">
        <v>7</v>
      </c>
      <c r="K1" s="140"/>
      <c r="L1" s="140"/>
      <c r="M1" s="140"/>
      <c r="N1" s="150"/>
      <c r="O1" s="139" t="s">
        <v>8</v>
      </c>
      <c r="P1" s="140"/>
      <c r="Q1" s="140"/>
      <c r="R1" s="140"/>
      <c r="S1" s="150"/>
      <c r="T1" s="143" t="s">
        <v>10</v>
      </c>
      <c r="U1" s="141" t="s">
        <v>11</v>
      </c>
      <c r="V1" s="105" t="s">
        <v>38</v>
      </c>
      <c r="W1" s="106" t="s">
        <v>39</v>
      </c>
      <c r="X1" s="159" t="s">
        <v>28</v>
      </c>
      <c r="Y1" s="157" t="s">
        <v>29</v>
      </c>
      <c r="Z1" s="159" t="s">
        <v>31</v>
      </c>
      <c r="AA1" s="157" t="s">
        <v>30</v>
      </c>
      <c r="AB1" s="159" t="s">
        <v>32</v>
      </c>
      <c r="AC1" s="157" t="s">
        <v>33</v>
      </c>
      <c r="AD1" s="151" t="s">
        <v>0</v>
      </c>
      <c r="AE1" s="155" t="s">
        <v>9</v>
      </c>
      <c r="AF1" s="151" t="s">
        <v>28</v>
      </c>
      <c r="AG1" s="153" t="s">
        <v>29</v>
      </c>
      <c r="AH1" s="151" t="s">
        <v>31</v>
      </c>
      <c r="AI1" s="153" t="s">
        <v>30</v>
      </c>
      <c r="AJ1" s="151" t="s">
        <v>32</v>
      </c>
      <c r="AK1" s="153" t="s">
        <v>33</v>
      </c>
      <c r="AL1" s="162" t="s">
        <v>41</v>
      </c>
      <c r="AM1" s="151" t="s">
        <v>42</v>
      </c>
      <c r="AN1" s="153" t="s">
        <v>43</v>
      </c>
      <c r="AO1" s="151" t="s">
        <v>44</v>
      </c>
      <c r="AP1" s="153" t="s">
        <v>45</v>
      </c>
      <c r="AQ1" s="151" t="s">
        <v>46</v>
      </c>
      <c r="AR1" s="153" t="s">
        <v>47</v>
      </c>
    </row>
    <row r="2" spans="1:44" ht="18" customHeight="1" x14ac:dyDescent="0.25">
      <c r="A2" s="146"/>
      <c r="B2" s="136" t="s">
        <v>5</v>
      </c>
      <c r="C2" s="136" t="s">
        <v>9</v>
      </c>
      <c r="D2" s="22">
        <v>0</v>
      </c>
      <c r="E2" s="50">
        <v>1</v>
      </c>
      <c r="F2" s="50">
        <v>2</v>
      </c>
      <c r="G2" s="50">
        <v>3</v>
      </c>
      <c r="H2" s="51">
        <v>4</v>
      </c>
      <c r="I2" s="46"/>
      <c r="J2" s="2">
        <v>0</v>
      </c>
      <c r="K2" s="3">
        <v>1</v>
      </c>
      <c r="L2" s="3">
        <v>2</v>
      </c>
      <c r="M2" s="3">
        <v>3</v>
      </c>
      <c r="N2" s="4">
        <v>4</v>
      </c>
      <c r="O2" s="2">
        <v>0</v>
      </c>
      <c r="P2" s="3">
        <v>1</v>
      </c>
      <c r="Q2" s="3">
        <v>2</v>
      </c>
      <c r="R2" s="3">
        <v>3</v>
      </c>
      <c r="S2" s="4">
        <v>4</v>
      </c>
      <c r="T2" s="144"/>
      <c r="U2" s="142"/>
      <c r="V2" s="107">
        <f>SUM(V3:V17)/(1+R_Squared)</f>
        <v>1.5955115452741051</v>
      </c>
      <c r="W2" s="108">
        <f>SUM(W3:W17)/(1+n+R_Squared)</f>
        <v>1.0873634892637947</v>
      </c>
      <c r="X2" s="160"/>
      <c r="Y2" s="158"/>
      <c r="Z2" s="160"/>
      <c r="AA2" s="158"/>
      <c r="AB2" s="160"/>
      <c r="AC2" s="158"/>
      <c r="AD2" s="161"/>
      <c r="AE2" s="156"/>
      <c r="AF2" s="152"/>
      <c r="AG2" s="154"/>
      <c r="AH2" s="152"/>
      <c r="AI2" s="154"/>
      <c r="AJ2" s="152"/>
      <c r="AK2" s="154"/>
      <c r="AL2" s="163"/>
      <c r="AM2" s="152"/>
      <c r="AN2" s="154"/>
      <c r="AO2" s="152"/>
      <c r="AP2" s="154"/>
      <c r="AQ2" s="152"/>
      <c r="AR2" s="154"/>
    </row>
    <row r="3" spans="1:44" ht="18" customHeight="1" x14ac:dyDescent="0.25">
      <c r="A3" s="5">
        <v>1</v>
      </c>
      <c r="B3" s="6">
        <v>0.87689956324086149</v>
      </c>
      <c r="C3" s="6">
        <f t="array" ref="C3:C17">MMULT(X,a)</f>
        <v>0.96824594339263848</v>
      </c>
      <c r="D3" s="7">
        <v>1</v>
      </c>
      <c r="E3" s="8">
        <v>0.45182858591654446</v>
      </c>
      <c r="F3" s="8">
        <v>-0.69496273385144114</v>
      </c>
      <c r="G3" s="8">
        <v>0.67920550588411532</v>
      </c>
      <c r="H3" s="9">
        <v>-0.63370910104522238</v>
      </c>
      <c r="I3" s="43">
        <v>0</v>
      </c>
      <c r="J3" s="30">
        <f t="array" ref="J3:N7">MMULT(TRANSPOSE(X),X)/(n-1)</f>
        <v>1.0714285714285714</v>
      </c>
      <c r="K3" s="132">
        <v>-3.1720657846433042E-17</v>
      </c>
      <c r="L3" s="132">
        <v>-7.9301644616082606E-18</v>
      </c>
      <c r="M3" s="132">
        <v>-3.1720657846433042E-17</v>
      </c>
      <c r="N3" s="133">
        <v>-1.5860328923216521E-17</v>
      </c>
      <c r="O3" s="35">
        <f t="array" ref="O3:S7">MINVERSE(XTX)</f>
        <v>0.93333333333333335</v>
      </c>
      <c r="P3" s="31">
        <v>4.0319812012383853E-17</v>
      </c>
      <c r="Q3" s="31">
        <v>3.5139707315975218E-17</v>
      </c>
      <c r="R3" s="31">
        <v>7.1499394972249428E-17</v>
      </c>
      <c r="S3" s="164">
        <v>1.9895959991132021E-17</v>
      </c>
      <c r="T3" s="55">
        <f>'14-1'!B3-'14-1'!C3</f>
        <v>-9.1346380151776985E-2</v>
      </c>
      <c r="U3" s="52">
        <f t="array" ref="U3">MMULT(MMULT('14-1'!D3:H3,'14-1'!$O$3:$S$7),TRANSPOSE('14-1'!D3:H3))/(n-1)</f>
        <v>0.15990535098527361</v>
      </c>
      <c r="V3" s="52">
        <f>SQRT(U3*(1/n+C3^2/(n-1)))</f>
        <v>0.14617902279774267</v>
      </c>
      <c r="W3" s="89">
        <f>SQRT((1+1/n+C3^2/(n-1)))*SQRT(1+U3)</f>
        <v>1.146692907822594</v>
      </c>
      <c r="X3" s="126">
        <f>s*t_crit*SQRT('14-1'!U3)</f>
        <v>0.34638506090428156</v>
      </c>
      <c r="Y3" s="129">
        <f>s*t_crit*SQRT(1+'14-1'!U3)</f>
        <v>0.93290824364608438</v>
      </c>
      <c r="Z3" s="126">
        <f>C3-X3</f>
        <v>0.62186088248835691</v>
      </c>
      <c r="AA3" s="129">
        <f>C3+X3</f>
        <v>1.31463100429692</v>
      </c>
      <c r="AB3" s="126">
        <f>C3-Y3</f>
        <v>3.5337699746554097E-2</v>
      </c>
      <c r="AC3" s="129">
        <f>C3+Y3</f>
        <v>1.9011541870387227</v>
      </c>
      <c r="AD3" s="103">
        <v>1</v>
      </c>
      <c r="AE3" s="77">
        <f>MIN('14-1'!B3:C17)</f>
        <v>-1.7857490452456863</v>
      </c>
      <c r="AF3" s="75">
        <f>m_CI*s*t_crit*SQRT(1/n+1/(n-1)*AE3^2)</f>
        <v>0.7499457618343498</v>
      </c>
      <c r="AG3" s="76">
        <f>m_PI*s*t_crit*SQRT(1+1/n+1/(n-1)*AE3^2)</f>
        <v>1.0716284580374722</v>
      </c>
      <c r="AH3" s="75">
        <f>AE3-AF3</f>
        <v>-2.535694807080036</v>
      </c>
      <c r="AI3" s="76">
        <f>AE3+AF3</f>
        <v>-1.0358032834113367</v>
      </c>
      <c r="AJ3" s="75">
        <f>AE3-AG3</f>
        <v>-2.8573775032831588</v>
      </c>
      <c r="AK3" s="76">
        <f>AE3+AG3</f>
        <v>-0.71412058720821414</v>
      </c>
      <c r="AL3" s="85">
        <f>((1/n+1/(n-1)*AE3^2))</f>
        <v>0.29444521328065809</v>
      </c>
      <c r="AM3" s="85">
        <f>s*t_crit*SQRT(1/n+(AE3^2/SST))</f>
        <v>0.47003468201510923</v>
      </c>
      <c r="AN3" s="87">
        <f>s*t_crit*SQRT(1+1/n+(AE3^2/SST))</f>
        <v>0.9855291892897966</v>
      </c>
      <c r="AO3" s="85">
        <f>AE3-AM3</f>
        <v>-2.2557837272607957</v>
      </c>
      <c r="AP3" s="87">
        <f>AE3+AM3</f>
        <v>-1.315714363230577</v>
      </c>
      <c r="AQ3" s="85">
        <f>AE3-AN3</f>
        <v>-2.7712782345354832</v>
      </c>
      <c r="AR3" s="87">
        <f>AE3+AN3</f>
        <v>-0.80021985595588974</v>
      </c>
    </row>
    <row r="4" spans="1:44" ht="18" customHeight="1" x14ac:dyDescent="0.25">
      <c r="A4" s="10">
        <v>2</v>
      </c>
      <c r="B4" s="11">
        <v>-0.38928413790569766</v>
      </c>
      <c r="C4" s="11">
        <v>0.13056401887930635</v>
      </c>
      <c r="D4" s="12">
        <v>1</v>
      </c>
      <c r="E4" s="13">
        <v>1.3883460185435639</v>
      </c>
      <c r="F4" s="13">
        <v>1.9893755273693374</v>
      </c>
      <c r="G4" s="13">
        <v>-1.0210685100936743</v>
      </c>
      <c r="H4" s="14">
        <v>0.48109697196629247</v>
      </c>
      <c r="I4" s="44">
        <v>1</v>
      </c>
      <c r="J4" s="134">
        <v>-3.1720657846433042E-17</v>
      </c>
      <c r="K4" s="28">
        <v>1</v>
      </c>
      <c r="L4" s="38">
        <v>0.35675560366439679</v>
      </c>
      <c r="M4" s="38">
        <v>-0.330398553483367</v>
      </c>
      <c r="N4" s="39">
        <v>1.8754786840451058E-2</v>
      </c>
      <c r="O4" s="32">
        <v>4.0319812012383859E-17</v>
      </c>
      <c r="P4" s="35">
        <v>1.1801545868293539</v>
      </c>
      <c r="Q4" s="165">
        <v>-0.32777893036734324</v>
      </c>
      <c r="R4" s="165">
        <v>0.1987122536927734</v>
      </c>
      <c r="S4" s="166">
        <v>0.12992013945872294</v>
      </c>
      <c r="T4" s="56">
        <f>'14-1'!B4-'14-1'!C4</f>
        <v>-0.51984815678500396</v>
      </c>
      <c r="U4" s="53">
        <f t="array" ref="U4">MMULT(MMULT('14-1'!D4:H4,'14-1'!$O$3:$S$7),TRANSPOSE('14-1'!D4:H4))/(n-1)</f>
        <v>0.40842927979356397</v>
      </c>
      <c r="V4" s="53">
        <f>SQRT(U4*(1/n+C4^2/(n-1)))</f>
        <v>0.16651107641664178</v>
      </c>
      <c r="W4" s="102">
        <f>SQRT((1+1/n+C4^2/(n-1)))*SQRT(1+U4)</f>
        <v>1.2263928918767411</v>
      </c>
      <c r="X4" s="127">
        <f>s*t_crit*SQRT('14-1'!U4)</f>
        <v>0.55358726270993275</v>
      </c>
      <c r="Y4" s="129">
        <f>s*t_crit*SQRT(1+'14-1'!U4)</f>
        <v>1.0280048823229562</v>
      </c>
      <c r="Z4" s="127">
        <f>C4-X4</f>
        <v>-0.42302324383062639</v>
      </c>
      <c r="AA4" s="129">
        <f>C4+X4</f>
        <v>0.6841512815892391</v>
      </c>
      <c r="AB4" s="127">
        <f>C4-Y4</f>
        <v>-0.89744086344364982</v>
      </c>
      <c r="AC4" s="129">
        <f>C4+Y4</f>
        <v>1.1585689012022624</v>
      </c>
      <c r="AD4" s="91">
        <v>2</v>
      </c>
      <c r="AE4" s="78">
        <f>(AE$23-AE$3)/20+AE3</f>
        <v>-1.6128126484714858</v>
      </c>
      <c r="AF4" s="75">
        <f>m_CI*s*t_crit*SQRT(1/n+1/(n-1)*AE4^2)</f>
        <v>0.69442837223045406</v>
      </c>
      <c r="AG4" s="76">
        <f>m_PI*s*t_crit*SQRT(1+1/n+1/(n-1)*AE4^2)</f>
        <v>1.0541078595016868</v>
      </c>
      <c r="AH4" s="75">
        <f>AE4-AF4</f>
        <v>-2.30724102070194</v>
      </c>
      <c r="AI4" s="76">
        <f>AE4+AF4</f>
        <v>-0.91838427624103169</v>
      </c>
      <c r="AJ4" s="75">
        <f>AE4-AG4</f>
        <v>-2.6669205079731726</v>
      </c>
      <c r="AK4" s="76">
        <f>AE4+AG4</f>
        <v>-0.55870478896979892</v>
      </c>
      <c r="AL4" s="85">
        <f>((1/n+1/(n-1)*AE4^2))</f>
        <v>0.25246414088592439</v>
      </c>
      <c r="AM4" s="85">
        <f>s*t_crit*SQRT(1/n+(AE4^2/SST))</f>
        <v>0.43523870089649069</v>
      </c>
      <c r="AN4" s="87">
        <f>s*t_crit*SQRT(1+1/n+(AE4^2/SST))</f>
        <v>0.96941627147640974</v>
      </c>
      <c r="AO4" s="85">
        <f>AE4-AM4</f>
        <v>-2.0480513493679764</v>
      </c>
      <c r="AP4" s="87">
        <f>AE4+AM4</f>
        <v>-1.1775739475749951</v>
      </c>
      <c r="AQ4" s="85">
        <f>AE4-AN4</f>
        <v>-2.5822289199478954</v>
      </c>
      <c r="AR4" s="87">
        <f>AE4+AN4</f>
        <v>-0.64339637699507601</v>
      </c>
    </row>
    <row r="5" spans="1:44" ht="18" customHeight="1" x14ac:dyDescent="0.25">
      <c r="A5" s="10">
        <v>3</v>
      </c>
      <c r="B5" s="11">
        <v>-1.0587450947885062</v>
      </c>
      <c r="C5" s="11">
        <v>-1.219303064470564</v>
      </c>
      <c r="D5" s="12">
        <v>1</v>
      </c>
      <c r="E5" s="13">
        <v>0.68311426765844008</v>
      </c>
      <c r="F5" s="13">
        <v>0.24377337748305267</v>
      </c>
      <c r="G5" s="13">
        <v>-1.4872453340158001</v>
      </c>
      <c r="H5" s="14">
        <v>1.2108269014375701</v>
      </c>
      <c r="I5" s="44">
        <v>2</v>
      </c>
      <c r="J5" s="134">
        <v>-7.9301644616082606E-18</v>
      </c>
      <c r="K5" s="40">
        <v>0.35675560366439679</v>
      </c>
      <c r="L5" s="29">
        <v>1</v>
      </c>
      <c r="M5" s="41">
        <v>-0.67795256893085354</v>
      </c>
      <c r="N5" s="36">
        <v>0.31919340117365608</v>
      </c>
      <c r="O5" s="32">
        <v>3.5139707315975218E-17</v>
      </c>
      <c r="P5" s="165">
        <v>-0.32777893036734329</v>
      </c>
      <c r="Q5" s="35">
        <v>2.0361248306772151</v>
      </c>
      <c r="R5" s="165">
        <v>1.1860079061763298</v>
      </c>
      <c r="S5" s="166">
        <v>-0.36069277534456634</v>
      </c>
      <c r="T5" s="56">
        <f>'14-1'!B5-'14-1'!C5</f>
        <v>0.16055796968205782</v>
      </c>
      <c r="U5" s="53">
        <f t="array" ref="U5">MMULT(MMULT('14-1'!D5:H5,'14-1'!$O$3:$S$7),TRANSPOSE('14-1'!D5:H5))/(n-1)</f>
        <v>0.41544966505118885</v>
      </c>
      <c r="V5" s="53">
        <f>SQRT(U5*(1/n+C5^2/(n-1)))</f>
        <v>0.26798214524555719</v>
      </c>
      <c r="W5" s="102">
        <f>SQRT((1+1/n+C5^2/(n-1)))*SQRT(1+U5)</f>
        <v>1.2884578442425723</v>
      </c>
      <c r="X5" s="127">
        <f>s*t_crit*SQRT('14-1'!U5)</f>
        <v>0.55832472583179993</v>
      </c>
      <c r="Y5" s="129">
        <f>s*t_crit*SQRT(1+'14-1'!U5)</f>
        <v>1.030563768099924</v>
      </c>
      <c r="Z5" s="127">
        <f>C5-X5</f>
        <v>-1.7776277903023638</v>
      </c>
      <c r="AA5" s="129">
        <f>C5+X5</f>
        <v>-0.6609783386387641</v>
      </c>
      <c r="AB5" s="127">
        <f>C5-Y5</f>
        <v>-2.249866832570488</v>
      </c>
      <c r="AC5" s="129">
        <f>C5+Y5</f>
        <v>-0.18873929637064002</v>
      </c>
      <c r="AD5" s="91">
        <v>3</v>
      </c>
      <c r="AE5" s="78">
        <f>(AE$23-AE$3)/20+AE4</f>
        <v>-1.4398762516972852</v>
      </c>
      <c r="AF5" s="75">
        <f>m_CI*s*t_crit*SQRT(1/n+1/(n-1)*AE5^2)</f>
        <v>0.64047141304901256</v>
      </c>
      <c r="AG5" s="76">
        <f>m_PI*s*t_crit*SQRT(1+1/n+1/(n-1)*AE5^2)</f>
        <v>1.0381182780006493</v>
      </c>
      <c r="AH5" s="75">
        <f>AE5-AF5</f>
        <v>-2.0803476647462977</v>
      </c>
      <c r="AI5" s="76">
        <f>AE5+AF5</f>
        <v>-0.79940483864827261</v>
      </c>
      <c r="AJ5" s="75">
        <f>AE5-AG5</f>
        <v>-2.4779945296979342</v>
      </c>
      <c r="AK5" s="76">
        <f>AE5+AG5</f>
        <v>-0.40175797369663591</v>
      </c>
      <c r="AL5" s="85">
        <f>((1/n+1/(n-1)*AE5^2))</f>
        <v>0.21475549668108262</v>
      </c>
      <c r="AM5" s="85">
        <f>s*t_crit*SQRT(1/n+(AE5^2/SST))</f>
        <v>0.40142073239525244</v>
      </c>
      <c r="AN5" s="87">
        <f>s*t_crit*SQRT(1+1/n+(AE5^2/SST))</f>
        <v>0.95471136216235541</v>
      </c>
      <c r="AO5" s="85">
        <f>AE5-AM5</f>
        <v>-1.8412969840925375</v>
      </c>
      <c r="AP5" s="87">
        <f>AE5+AM5</f>
        <v>-1.0384555193020328</v>
      </c>
      <c r="AQ5" s="85">
        <f>AE5-AN5</f>
        <v>-2.3945876138596405</v>
      </c>
      <c r="AR5" s="87">
        <f>AE5+AN5</f>
        <v>-0.48516488953492976</v>
      </c>
    </row>
    <row r="6" spans="1:44" ht="18" customHeight="1" x14ac:dyDescent="0.25">
      <c r="A6" s="10">
        <v>4</v>
      </c>
      <c r="B6" s="11">
        <v>-1.5072974059393618</v>
      </c>
      <c r="C6" s="11">
        <v>-1.210435543963555</v>
      </c>
      <c r="D6" s="12">
        <v>1</v>
      </c>
      <c r="E6" s="13">
        <v>-1.2202531460207657</v>
      </c>
      <c r="F6" s="13">
        <v>-0.70837324972764815</v>
      </c>
      <c r="G6" s="13">
        <v>-0.88206305714234945</v>
      </c>
      <c r="H6" s="14">
        <v>-0.32096770270038905</v>
      </c>
      <c r="I6" s="44">
        <v>3</v>
      </c>
      <c r="J6" s="134">
        <v>-3.1720657846433042E-17</v>
      </c>
      <c r="K6" s="40">
        <v>-0.330398553483367</v>
      </c>
      <c r="L6" s="41">
        <v>-0.67795256893085354</v>
      </c>
      <c r="M6" s="29">
        <v>1.0000000000000002</v>
      </c>
      <c r="N6" s="36">
        <v>-0.23868087989078848</v>
      </c>
      <c r="O6" s="32">
        <v>7.1499394972249428E-17</v>
      </c>
      <c r="P6" s="165">
        <v>0.19871225369277332</v>
      </c>
      <c r="Q6" s="165">
        <v>1.1860079061763298</v>
      </c>
      <c r="R6" s="35">
        <v>1.8859025460554655</v>
      </c>
      <c r="S6" s="166">
        <v>6.7836175728934064E-2</v>
      </c>
      <c r="T6" s="56">
        <f>'14-1'!B6-'14-1'!C6</f>
        <v>-0.29686186197580677</v>
      </c>
      <c r="U6" s="53">
        <f t="array" ref="U6">MMULT(MMULT('14-1'!D6:H6,'14-1'!$O$3:$S$7),TRANSPOSE('14-1'!D6:H6))/(n-1)</f>
        <v>0.47252040667014283</v>
      </c>
      <c r="V6" s="53">
        <f>SQRT(U6*(1/n+C6^2/(n-1)))</f>
        <v>0.28452144126105455</v>
      </c>
      <c r="W6" s="102">
        <f>SQRT((1+1/n+C6^2/(n-1)))*SQRT(1+U6)</f>
        <v>1.3133138984026909</v>
      </c>
      <c r="X6" s="127">
        <f>s*t_crit*SQRT('14-1'!U6)</f>
        <v>0.59543990855279894</v>
      </c>
      <c r="Y6" s="129">
        <f>s*t_crit*SQRT(1+'14-1'!U6)</f>
        <v>1.0511345610065939</v>
      </c>
      <c r="Z6" s="127">
        <f>C6-X6</f>
        <v>-1.8058754525163541</v>
      </c>
      <c r="AA6" s="129">
        <f>C6+X6</f>
        <v>-0.61499563541075608</v>
      </c>
      <c r="AB6" s="127">
        <f>C6-Y6</f>
        <v>-2.2615701049701489</v>
      </c>
      <c r="AC6" s="129">
        <f>C6+Y6</f>
        <v>-0.15930098295696116</v>
      </c>
      <c r="AD6" s="91">
        <v>4</v>
      </c>
      <c r="AE6" s="78">
        <f>(AE$23-AE$3)/20+AE5</f>
        <v>-1.2669398549230846</v>
      </c>
      <c r="AF6" s="75">
        <f>m_CI*s*t_crit*SQRT(1/n+1/(n-1)*AE6^2)</f>
        <v>0.58850424468850315</v>
      </c>
      <c r="AG6" s="76">
        <f>m_PI*s*t_crit*SQRT(1+1/n+1/(n-1)*AE6^2)</f>
        <v>1.0237314545539689</v>
      </c>
      <c r="AH6" s="75">
        <f>AE6-AF6</f>
        <v>-1.8554440996115877</v>
      </c>
      <c r="AI6" s="76">
        <f>AE6+AF6</f>
        <v>-0.67843561023458143</v>
      </c>
      <c r="AJ6" s="75">
        <f>AE6-AG6</f>
        <v>-2.2906713094770534</v>
      </c>
      <c r="AK6" s="76">
        <f>AE6+AG6</f>
        <v>-0.24320840036911573</v>
      </c>
      <c r="AL6" s="85">
        <f>((1/n+1/(n-1)*AE6^2))</f>
        <v>0.18131928066613284</v>
      </c>
      <c r="AM6" s="85">
        <f>s*t_crit*SQRT(1/n+(AE6^2/SST))</f>
        <v>0.3688498816769134</v>
      </c>
      <c r="AN6" s="87">
        <f>s*t_crit*SQRT(1+1/n+(AE6^2/SST))</f>
        <v>0.94148043838320505</v>
      </c>
      <c r="AO6" s="85">
        <f>AE6-AM6</f>
        <v>-1.635789736599998</v>
      </c>
      <c r="AP6" s="87">
        <f>AE6+AM6</f>
        <v>-0.89808997324617112</v>
      </c>
      <c r="AQ6" s="85">
        <f>AE6-AN6</f>
        <v>-2.2084202933062898</v>
      </c>
      <c r="AR6" s="87">
        <f>AE6+AN6</f>
        <v>-0.32545941653987953</v>
      </c>
    </row>
    <row r="7" spans="1:44" ht="18" customHeight="1" x14ac:dyDescent="0.25">
      <c r="A7" s="10">
        <v>5</v>
      </c>
      <c r="B7" s="11">
        <v>-0.27074779141538152</v>
      </c>
      <c r="C7" s="11">
        <v>-0.285907949190435</v>
      </c>
      <c r="D7" s="12">
        <v>1</v>
      </c>
      <c r="E7" s="13">
        <v>-0.83920050642960997</v>
      </c>
      <c r="F7" s="13">
        <v>-0.40663664251298942</v>
      </c>
      <c r="G7" s="13">
        <v>1.0775747917812044</v>
      </c>
      <c r="H7" s="14">
        <v>0.83213323541457485</v>
      </c>
      <c r="I7" s="45">
        <v>4</v>
      </c>
      <c r="J7" s="135">
        <v>-1.5860328923216521E-17</v>
      </c>
      <c r="K7" s="42">
        <v>1.8754786840451058E-2</v>
      </c>
      <c r="L7" s="37">
        <v>0.31919340117365608</v>
      </c>
      <c r="M7" s="37">
        <v>-0.23868087989078848</v>
      </c>
      <c r="N7" s="29">
        <v>0.99999999999999944</v>
      </c>
      <c r="O7" s="33">
        <v>1.9895959991132027E-17</v>
      </c>
      <c r="P7" s="34">
        <v>0.12992013945872297</v>
      </c>
      <c r="Q7" s="34">
        <v>-0.3606927753445664</v>
      </c>
      <c r="R7" s="34">
        <v>6.7836175728934078E-2</v>
      </c>
      <c r="S7" s="35">
        <v>1.1288853273305763</v>
      </c>
      <c r="T7" s="56">
        <f>'14-1'!B7-'14-1'!C7</f>
        <v>1.5160157775053473E-2</v>
      </c>
      <c r="U7" s="53">
        <f t="array" ref="U7">MMULT(MMULT('14-1'!D7:H7,'14-1'!$O$3:$S$7),TRANSPOSE('14-1'!D7:H7))/(n-1)</f>
        <v>0.25960817755819415</v>
      </c>
      <c r="V7" s="53">
        <f>SQRT(U7*(1/n+C7^2/(n-1)))</f>
        <v>0.13719699321115289</v>
      </c>
      <c r="W7" s="102">
        <f>SQRT((1+1/n+C7^2/(n-1)))*SQRT(1+U7)</f>
        <v>1.1622980126765152</v>
      </c>
      <c r="X7" s="127">
        <f>s*t_crit*SQRT('14-1'!U7)</f>
        <v>0.44135376831413614</v>
      </c>
      <c r="Y7" s="129">
        <f>s*t_crit*SQRT(1+'14-1'!U7)</f>
        <v>0.97217710806737645</v>
      </c>
      <c r="Z7" s="127">
        <f>C7-X7</f>
        <v>-0.72726171750457114</v>
      </c>
      <c r="AA7" s="129">
        <f>C7+X7</f>
        <v>0.15544581912370115</v>
      </c>
      <c r="AB7" s="127">
        <f>C7-Y7</f>
        <v>-1.2580850572578115</v>
      </c>
      <c r="AC7" s="129">
        <f>C7+Y7</f>
        <v>0.6862691588769414</v>
      </c>
      <c r="AD7" s="91">
        <v>5</v>
      </c>
      <c r="AE7" s="78">
        <f>(AE$23-AE$3)/20+AE6</f>
        <v>-1.094003458148884</v>
      </c>
      <c r="AF7" s="75">
        <f>m_CI*s*t_crit*SQRT(1/n+1/(n-1)*AE7^2)</f>
        <v>0.53910259636621893</v>
      </c>
      <c r="AG7" s="76">
        <f>m_PI*s*t_crit*SQRT(1+1/n+1/(n-1)*AE7^2)</f>
        <v>1.0110158135438261</v>
      </c>
      <c r="AH7" s="75">
        <f>AE7-AF7</f>
        <v>-1.6331060545151028</v>
      </c>
      <c r="AI7" s="76">
        <f>AE7+AF7</f>
        <v>-0.55490086178266507</v>
      </c>
      <c r="AJ7" s="75">
        <f>AE7-AG7</f>
        <v>-2.1050192716927101</v>
      </c>
      <c r="AK7" s="76">
        <f>AE7+AG7</f>
        <v>-8.298764460505792E-2</v>
      </c>
      <c r="AL7" s="85">
        <f>((1/n+1/(n-1)*AE7^2))</f>
        <v>0.15215549284107502</v>
      </c>
      <c r="AM7" s="85">
        <f>s*t_crit*SQRT(1/n+(AE7^2/SST))</f>
        <v>0.33788699176952813</v>
      </c>
      <c r="AN7" s="87">
        <f>s*t_crit*SQRT(1+1/n+(AE7^2/SST))</f>
        <v>0.9297864270101065</v>
      </c>
      <c r="AO7" s="85">
        <f>AE7-AM7</f>
        <v>-1.4318904499184122</v>
      </c>
      <c r="AP7" s="87">
        <f>AE7+AM7</f>
        <v>-0.75611646637935581</v>
      </c>
      <c r="AQ7" s="85">
        <f>AE7-AN7</f>
        <v>-2.0237898851589904</v>
      </c>
      <c r="AR7" s="87">
        <f>AE7+AN7</f>
        <v>-0.1642170311387775</v>
      </c>
    </row>
    <row r="8" spans="1:44" ht="18" customHeight="1" x14ac:dyDescent="0.3">
      <c r="A8" s="10">
        <v>6</v>
      </c>
      <c r="B8" s="11">
        <v>-1.4763163153793926</v>
      </c>
      <c r="C8" s="11">
        <v>-1.7857490452456863</v>
      </c>
      <c r="D8" s="12">
        <v>1</v>
      </c>
      <c r="E8" s="13">
        <v>-1.3757074566997447</v>
      </c>
      <c r="F8" s="13">
        <v>1.4216636886099054</v>
      </c>
      <c r="G8" s="13">
        <v>-0.29552785322578395</v>
      </c>
      <c r="H8" s="14">
        <v>1.7809948929778106</v>
      </c>
      <c r="I8" s="23" t="s">
        <v>3</v>
      </c>
      <c r="J8" s="3" t="s">
        <v>4</v>
      </c>
      <c r="K8" s="23" t="s">
        <v>13</v>
      </c>
      <c r="L8" s="23" t="s">
        <v>24</v>
      </c>
      <c r="M8" s="23" t="s">
        <v>23</v>
      </c>
      <c r="N8" s="23" t="s">
        <v>25</v>
      </c>
      <c r="O8" s="23" t="s">
        <v>26</v>
      </c>
      <c r="P8" s="74"/>
      <c r="Q8" s="113" t="s">
        <v>48</v>
      </c>
      <c r="R8"/>
      <c r="S8"/>
      <c r="T8" s="56">
        <f>'14-1'!B8-'14-1'!C8</f>
        <v>0.30943272986629378</v>
      </c>
      <c r="U8" s="53">
        <f t="array" ref="U8">MMULT(MMULT('14-1'!D8:H8,'14-1'!$O$3:$S$7),TRANSPOSE('14-1'!D8:H8))/(n-1)</f>
        <v>0.63858181787237611</v>
      </c>
      <c r="V8" s="53">
        <f>SQRT(U8*(1/n+C8^2/(n-1)))</f>
        <v>0.43362121668638648</v>
      </c>
      <c r="W8" s="102">
        <f>SQRT((1+1/n+C8^2/(n-1)))*SQRT(1+U8)</f>
        <v>1.4563840121045055</v>
      </c>
      <c r="X8" s="127">
        <f>s*t_crit*SQRT('14-1'!U8)</f>
        <v>0.69220690813512076</v>
      </c>
      <c r="Y8" s="129">
        <f>s*t_crit*SQRT(1+'14-1'!U8)</f>
        <v>1.108821709886284</v>
      </c>
      <c r="Z8" s="127">
        <f>C8-X8</f>
        <v>-2.4779559533808069</v>
      </c>
      <c r="AA8" s="129">
        <f>C8+X8</f>
        <v>-1.0935421371105656</v>
      </c>
      <c r="AB8" s="127">
        <f>C8-Y8</f>
        <v>-2.8945707551319702</v>
      </c>
      <c r="AC8" s="129">
        <f>C8+Y8</f>
        <v>-0.6769273353594023</v>
      </c>
      <c r="AD8" s="91">
        <v>6</v>
      </c>
      <c r="AE8" s="78">
        <f>(AE$23-AE$3)/20+AE7</f>
        <v>-0.92106706137468342</v>
      </c>
      <c r="AF8" s="75">
        <f>m_CI*s*t_crit*SQRT(1/n+1/(n-1)*AE8^2)</f>
        <v>0.49303825521985312</v>
      </c>
      <c r="AG8" s="76">
        <f>m_PI*s*t_crit*SQRT(1+1/n+1/(n-1)*AE8^2)</f>
        <v>1.0000351052320768</v>
      </c>
      <c r="AH8" s="75">
        <f>AE8-AF8</f>
        <v>-1.4141053165945365</v>
      </c>
      <c r="AI8" s="76">
        <f>AE8+AF8</f>
        <v>-0.4280288061548303</v>
      </c>
      <c r="AJ8" s="75">
        <f>AE8-AG8</f>
        <v>-1.9211021666067603</v>
      </c>
      <c r="AK8" s="76">
        <f>AE8+AG8</f>
        <v>7.8968043857393422E-2</v>
      </c>
      <c r="AL8" s="85">
        <f>((1/n+1/(n-1)*AE8^2))</f>
        <v>0.12726413320590915</v>
      </c>
      <c r="AM8" s="85">
        <f>s*t_crit*SQRT(1/n+(AE8^2/SST))</f>
        <v>0.30901578661729467</v>
      </c>
      <c r="AN8" s="87">
        <f>s*t_crit*SQRT(1+1/n+(AE8^2/SST))</f>
        <v>0.91968795633294254</v>
      </c>
      <c r="AO8" s="85">
        <f>AE8-AM8</f>
        <v>-1.2300828479919781</v>
      </c>
      <c r="AP8" s="87">
        <f>AE8+AM8</f>
        <v>-0.61205127475738874</v>
      </c>
      <c r="AQ8" s="85">
        <f>AE8-AN8</f>
        <v>-1.840755017707626</v>
      </c>
      <c r="AR8" s="87">
        <f>AE8+AN8</f>
        <v>-1.3791050417408801E-3</v>
      </c>
    </row>
    <row r="9" spans="1:44" ht="18" customHeight="1" x14ac:dyDescent="0.35">
      <c r="A9" s="10">
        <v>7</v>
      </c>
      <c r="B9" s="11">
        <v>1.6164047248679478</v>
      </c>
      <c r="C9" s="11">
        <v>1.3648224254105654</v>
      </c>
      <c r="D9" s="12">
        <v>1</v>
      </c>
      <c r="E9" s="13">
        <v>0.91439994940033553</v>
      </c>
      <c r="F9" s="13">
        <v>-0.74413462539753361</v>
      </c>
      <c r="G9" s="13">
        <v>1.4064413512026315</v>
      </c>
      <c r="H9" s="14">
        <v>-1.8438268383141844E-3</v>
      </c>
      <c r="I9" s="25">
        <v>0</v>
      </c>
      <c r="J9" s="59">
        <f t="array" ref="J9:J13">MMULT(TRANSPOSE(X),y_star)</f>
        <v>-2.7478019859472624E-15</v>
      </c>
      <c r="K9" s="27">
        <f t="array" ref="K9:K13">MMULT(MMULT(MINVERSE(MMULT(TRANSPOSE(X),X)),TRANSPOSE(X)),y_star)</f>
        <v>-2.0122792321330962E-16</v>
      </c>
      <c r="L9" s="27">
        <f>SQRT(MSR*O3/(n-1))</f>
        <v>0.10037828555873628</v>
      </c>
      <c r="M9" s="27">
        <f>K9/L9</f>
        <v>-2.0046957575855512E-15</v>
      </c>
      <c r="N9" s="27">
        <f>_xlfn.T.DIST.2T(ABS(M9),n-m)</f>
        <v>1</v>
      </c>
      <c r="O9" s="60">
        <f>1-N9</f>
        <v>0</v>
      </c>
      <c r="P9" s="47" t="s">
        <v>12</v>
      </c>
      <c r="Q9" s="138">
        <f>SSM/SST</f>
        <v>0.89204499773166568</v>
      </c>
      <c r="R9"/>
      <c r="S9"/>
      <c r="T9" s="56">
        <f>'14-1'!B9-'14-1'!C9</f>
        <v>0.25158229945738242</v>
      </c>
      <c r="U9" s="53">
        <f t="array" ref="U9">MMULT(MMULT('14-1'!D9:H9,'14-1'!$O$3:$S$7),TRANSPOSE('14-1'!D9:H9))/(n-1)</f>
        <v>0.37506565521258056</v>
      </c>
      <c r="V9" s="53">
        <f>SQRT(U9*(1/n+C9^2/(n-1)))</f>
        <v>0.27369315086744983</v>
      </c>
      <c r="W9" s="102">
        <f>SQRT((1+1/n+C9^2/(n-1)))*SQRT(1+U9)</f>
        <v>1.2844038064091832</v>
      </c>
      <c r="X9" s="127">
        <f>s*t_crit*SQRT('14-1'!U9)</f>
        <v>0.53049501049277226</v>
      </c>
      <c r="Y9" s="129">
        <f>s*t_crit*SQRT(1+'14-1'!U9)</f>
        <v>1.0157559435232884</v>
      </c>
      <c r="Z9" s="127">
        <f>C9-X9</f>
        <v>0.83432741491779316</v>
      </c>
      <c r="AA9" s="129">
        <f>C9+X9</f>
        <v>1.8953174359033378</v>
      </c>
      <c r="AB9" s="127">
        <f>C9-Y9</f>
        <v>0.34906648188727707</v>
      </c>
      <c r="AC9" s="129">
        <f>C9+Y9</f>
        <v>2.380578368933854</v>
      </c>
      <c r="AD9" s="91">
        <v>7</v>
      </c>
      <c r="AE9" s="78">
        <f>(AE$23-AE$3)/20+AE8</f>
        <v>-0.74813066460048283</v>
      </c>
      <c r="AF9" s="75">
        <f>m_CI*s*t_crit*SQRT(1/n+1/(n-1)*AE9^2)</f>
        <v>0.45133422329876743</v>
      </c>
      <c r="AG9" s="76">
        <f>m_PI*s*t_crit*SQRT(1+1/n+1/(n-1)*AE9^2)</f>
        <v>0.99084701161467148</v>
      </c>
      <c r="AH9" s="75">
        <f>AE9-AF9</f>
        <v>-1.1994648878992502</v>
      </c>
      <c r="AI9" s="76">
        <f>AE9+AF9</f>
        <v>-0.2967964413017154</v>
      </c>
      <c r="AJ9" s="75">
        <f>AE9-AG9</f>
        <v>-1.7389776762151543</v>
      </c>
      <c r="AK9" s="76">
        <f>AE9+AG9</f>
        <v>0.24271634701418865</v>
      </c>
      <c r="AL9" s="85">
        <f>((1/n+1/(n-1)*AE9^2))</f>
        <v>0.10664520176063524</v>
      </c>
      <c r="AM9" s="85">
        <f>s*t_crit*SQRT(1/n+(AE9^2/SST))</f>
        <v>0.28287744117904784</v>
      </c>
      <c r="AN9" s="87">
        <f>s*t_crit*SQRT(1+1/n+(AE9^2/SST))</f>
        <v>0.91123807392643807</v>
      </c>
      <c r="AO9" s="85">
        <f>AE9-AM9</f>
        <v>-1.0310081057795306</v>
      </c>
      <c r="AP9" s="87">
        <f>AE9+AM9</f>
        <v>-0.46525322342143499</v>
      </c>
      <c r="AQ9" s="85">
        <f>AE9-AN9</f>
        <v>-1.6593687385269209</v>
      </c>
      <c r="AR9" s="87">
        <f>AE9+AN9</f>
        <v>0.16310740932595524</v>
      </c>
    </row>
    <row r="10" spans="1:44" ht="18" customHeight="1" x14ac:dyDescent="0.3">
      <c r="A10" s="10">
        <v>8</v>
      </c>
      <c r="B10" s="11">
        <v>0.36907907884484786</v>
      </c>
      <c r="C10" s="11">
        <v>-8.8619098727506562E-2</v>
      </c>
      <c r="D10" s="12">
        <v>1</v>
      </c>
      <c r="E10" s="13">
        <v>0.57884613244692973</v>
      </c>
      <c r="F10" s="13">
        <v>-0.33511389117321844</v>
      </c>
      <c r="G10" s="13">
        <v>-0.52268310560965603</v>
      </c>
      <c r="H10" s="14">
        <v>6.4108440839847958E-2</v>
      </c>
      <c r="I10" s="62">
        <v>1</v>
      </c>
      <c r="J10" s="63">
        <v>5.5973451183200558</v>
      </c>
      <c r="K10" s="64">
        <v>0.58153583150430999</v>
      </c>
      <c r="L10" s="64">
        <f>SQRT(MSR*P4/(n-1))</f>
        <v>0.11287319925391859</v>
      </c>
      <c r="M10" s="64">
        <f>K10/L10</f>
        <v>5.1521161387132466</v>
      </c>
      <c r="N10" s="64">
        <f>_xlfn.T.DIST.2T(ABS(M10),n-m)</f>
        <v>4.3012211971835661E-4</v>
      </c>
      <c r="O10" s="65">
        <f>1-N10</f>
        <v>0.99956987788028162</v>
      </c>
      <c r="P10" s="67">
        <f>1-1/P4</f>
        <v>0.15265338019264385</v>
      </c>
      <c r="R10"/>
      <c r="S10"/>
      <c r="T10" s="56">
        <f>'14-1'!B10-'14-1'!C10</f>
        <v>0.45769817757235443</v>
      </c>
      <c r="U10" s="53">
        <f t="array" ref="U10">MMULT(MMULT('14-1'!D10:H10,'14-1'!$O$3:$S$7),TRANSPOSE('14-1'!D10:H10))/(n-1)</f>
        <v>0.18001984413276681</v>
      </c>
      <c r="V10" s="53">
        <f>SQRT(U10*(1/n+C10^2/(n-1)))</f>
        <v>0.11001047971900094</v>
      </c>
      <c r="W10" s="102">
        <f>SQRT((1+1/n+C10^2/(n-1)))*SQRT(1+U10)</f>
        <v>1.1222075430317628</v>
      </c>
      <c r="X10" s="127">
        <f>s*t_crit*SQRT('14-1'!U10)</f>
        <v>0.36752581170180815</v>
      </c>
      <c r="Y10" s="129">
        <f>s*t_crit*SQRT(1+'14-1'!U10)</f>
        <v>0.94096248751596456</v>
      </c>
      <c r="Z10" s="127">
        <f>C10-X10</f>
        <v>-0.45614491042931471</v>
      </c>
      <c r="AA10" s="129">
        <f>C10+X10</f>
        <v>0.27890671297430158</v>
      </c>
      <c r="AB10" s="127">
        <f>C10-Y10</f>
        <v>-1.0295815862434712</v>
      </c>
      <c r="AC10" s="129">
        <f>C10+Y10</f>
        <v>0.85234338878845795</v>
      </c>
      <c r="AD10" s="91">
        <v>8</v>
      </c>
      <c r="AE10" s="78">
        <f>(AE$23-AE$3)/20+AE9</f>
        <v>-0.57519426782628225</v>
      </c>
      <c r="AF10" s="75">
        <f>m_CI*s*t_crit*SQRT(1/n+1/(n-1)*AE10^2)</f>
        <v>0.41530613942029843</v>
      </c>
      <c r="AG10" s="76">
        <f>m_PI*s*t_crit*SQRT(1+1/n+1/(n-1)*AE10^2)</f>
        <v>0.98350177499751656</v>
      </c>
      <c r="AH10" s="75">
        <f>AE10-AF10</f>
        <v>-0.99050040724658062</v>
      </c>
      <c r="AI10" s="76">
        <f>AE10+AF10</f>
        <v>-0.15988812840598382</v>
      </c>
      <c r="AJ10" s="75">
        <f>AE10-AG10</f>
        <v>-1.5586960428237988</v>
      </c>
      <c r="AK10" s="76">
        <f>AE10+AG10</f>
        <v>0.40830750717123432</v>
      </c>
      <c r="AL10" s="85">
        <f>((1/n+1/(n-1)*AE10^2))</f>
        <v>9.0298698505253294E-2</v>
      </c>
      <c r="AM10" s="85">
        <f>s*t_crit*SQRT(1/n+(AE10^2/SST))</f>
        <v>0.26029654291780746</v>
      </c>
      <c r="AN10" s="87">
        <f>s*t_crit*SQRT(1+1/n+(AE10^2/SST))</f>
        <v>0.90448298541217509</v>
      </c>
      <c r="AO10" s="85">
        <f>AE10-AM10</f>
        <v>-0.83549081074408971</v>
      </c>
      <c r="AP10" s="87">
        <f>AE10+AM10</f>
        <v>-0.31489772490847479</v>
      </c>
      <c r="AQ10" s="85">
        <f>AE10-AN10</f>
        <v>-1.4796772532384574</v>
      </c>
      <c r="AR10" s="87">
        <f>AE10+AN10</f>
        <v>0.32928871758589284</v>
      </c>
    </row>
    <row r="11" spans="1:44" ht="18" customHeight="1" x14ac:dyDescent="0.3">
      <c r="A11" s="10">
        <v>9</v>
      </c>
      <c r="B11" s="11">
        <v>1.6729788902383258</v>
      </c>
      <c r="C11" s="11">
        <v>1.4694445410936996</v>
      </c>
      <c r="D11" s="12">
        <v>1</v>
      </c>
      <c r="E11" s="13">
        <v>-0.75389021398382883</v>
      </c>
      <c r="F11" s="13">
        <v>-0.81789246271667237</v>
      </c>
      <c r="G11" s="13">
        <v>1.184371664170637</v>
      </c>
      <c r="H11" s="14">
        <v>-2.2442209278958267</v>
      </c>
      <c r="I11" s="24">
        <v>2</v>
      </c>
      <c r="J11" s="26">
        <v>-3.9784312982134158</v>
      </c>
      <c r="K11" s="21">
        <v>0.13211953734292062</v>
      </c>
      <c r="L11" s="21">
        <f>SQRT(MSR*Q5/(n-1))</f>
        <v>0.14825985994677407</v>
      </c>
      <c r="M11" s="21">
        <f>K11/L11</f>
        <v>0.89113491264831968</v>
      </c>
      <c r="N11" s="21">
        <f>_xlfn.T.DIST.2T(ABS(M11),n-m)</f>
        <v>0.39379263806034148</v>
      </c>
      <c r="O11" s="61">
        <f>1-N11</f>
        <v>0.60620736193965852</v>
      </c>
      <c r="P11" s="58">
        <f>1-1/Q5</f>
        <v>0.50887097640894641</v>
      </c>
      <c r="R11"/>
      <c r="S11"/>
      <c r="T11" s="56">
        <f>'14-1'!B11-'14-1'!C11</f>
        <v>0.2035343491446262</v>
      </c>
      <c r="U11" s="53">
        <f t="array" ref="U11">MMULT(MMULT('14-1'!D11:H11,'14-1'!$O$3:$S$7),TRANSPOSE('14-1'!D11:H11))/(n-1)</f>
        <v>0.49966328889185674</v>
      </c>
      <c r="V11" s="53">
        <f>SQRT(U11*(1/n+C11^2/(n-1)))</f>
        <v>0.33222829751425625</v>
      </c>
      <c r="W11" s="102">
        <f>SQRT((1+1/n+C11^2/(n-1)))*SQRT(1+U11)</f>
        <v>1.3531219357085329</v>
      </c>
      <c r="X11" s="127">
        <f>s*t_crit*SQRT('14-1'!U11)</f>
        <v>0.6123029839323223</v>
      </c>
      <c r="Y11" s="129">
        <f>s*t_crit*SQRT(1+'14-1'!U11)</f>
        <v>1.0607780751776428</v>
      </c>
      <c r="Z11" s="127">
        <f>C11-X11</f>
        <v>0.8571415571613773</v>
      </c>
      <c r="AA11" s="129">
        <f>C11+X11</f>
        <v>2.0817475250260218</v>
      </c>
      <c r="AB11" s="127">
        <f>C11-Y11</f>
        <v>0.40866646591605682</v>
      </c>
      <c r="AC11" s="129">
        <f>C11+Y11</f>
        <v>2.5302226162713426</v>
      </c>
      <c r="AD11" s="91">
        <v>9</v>
      </c>
      <c r="AE11" s="78">
        <f>(AE$23-AE$3)/20+AE10</f>
        <v>-0.40225787105208166</v>
      </c>
      <c r="AF11" s="75">
        <f>m_CI*s*t_crit*SQRT(1/n+1/(n-1)*AE11^2)</f>
        <v>0.38654436494238159</v>
      </c>
      <c r="AG11" s="76">
        <f>m_PI*s*t_crit*SQRT(1+1/n+1/(n-1)*AE11^2)</f>
        <v>0.97804091667432502</v>
      </c>
      <c r="AH11" s="75">
        <f>AE11-AF11</f>
        <v>-0.78880223599446331</v>
      </c>
      <c r="AI11" s="76">
        <f>AE11+AF11</f>
        <v>-1.5713506109700071E-2</v>
      </c>
      <c r="AJ11" s="75">
        <f>AE11-AG11</f>
        <v>-1.3802987877264066</v>
      </c>
      <c r="AK11" s="76">
        <f>AE11+AG11</f>
        <v>0.57578304562224336</v>
      </c>
      <c r="AL11" s="85">
        <f>((1/n+1/(n-1)*AE11^2))</f>
        <v>7.8224623439763316E-2</v>
      </c>
      <c r="AM11" s="85">
        <f>s*t_crit*SQRT(1/n+(AE11^2/SST))</f>
        <v>0.24226986391124744</v>
      </c>
      <c r="AN11" s="87">
        <f>s*t_crit*SQRT(1+1/n+(AE11^2/SST))</f>
        <v>0.89946087608340886</v>
      </c>
      <c r="AO11" s="85">
        <f>AE11-AM11</f>
        <v>-0.64452773496332916</v>
      </c>
      <c r="AP11" s="87">
        <f>AE11+AM11</f>
        <v>-0.15998800714083422</v>
      </c>
      <c r="AQ11" s="85">
        <f>AE11-AN11</f>
        <v>-1.3017187471354905</v>
      </c>
      <c r="AR11" s="87">
        <f>AE11+AN11</f>
        <v>0.49720300503132719</v>
      </c>
    </row>
    <row r="12" spans="1:44" ht="18" customHeight="1" x14ac:dyDescent="0.3">
      <c r="A12" s="10">
        <v>10</v>
      </c>
      <c r="B12" s="11">
        <v>5.9268173245157846E-2</v>
      </c>
      <c r="C12" s="11">
        <v>3.4242127500675845E-2</v>
      </c>
      <c r="D12" s="12">
        <v>1</v>
      </c>
      <c r="E12" s="13">
        <v>0.49164005572457575</v>
      </c>
      <c r="F12" s="13">
        <v>0.54103981273897561</v>
      </c>
      <c r="G12" s="13">
        <v>8.9279925066298046E-2</v>
      </c>
      <c r="H12" s="14">
        <v>0.6959737150467562</v>
      </c>
      <c r="I12" s="62">
        <v>3</v>
      </c>
      <c r="J12" s="68">
        <v>7.1521979250483403</v>
      </c>
      <c r="K12" s="64">
        <v>0.66150518452343776</v>
      </c>
      <c r="L12" s="64">
        <f>SQRT(MSR*R6/(n-1))</f>
        <v>0.14268588354748876</v>
      </c>
      <c r="M12" s="64">
        <f>K12/L12</f>
        <v>4.6360941116033763</v>
      </c>
      <c r="N12" s="64">
        <f>_xlfn.T.DIST.2T(ABS(M12),n-m)</f>
        <v>9.2750627716418422E-4</v>
      </c>
      <c r="O12" s="65">
        <f>1-N12</f>
        <v>0.9990724937228358</v>
      </c>
      <c r="P12" s="66">
        <f>1-1/R6</f>
        <v>0.46974990723057786</v>
      </c>
      <c r="R12"/>
      <c r="S12"/>
      <c r="T12" s="56">
        <f>'14-1'!B12-'14-1'!C12</f>
        <v>2.5026045744482001E-2</v>
      </c>
      <c r="U12" s="53">
        <f t="array" ref="U12">MMULT(MMULT('14-1'!D12:H12,'14-1'!$O$3:$S$7),TRANSPOSE('14-1'!D12:H12))/(n-1)</f>
        <v>0.1542714484419388</v>
      </c>
      <c r="V12" s="53">
        <f>SQRT(U12*(1/n+C12^2/(n-1)))</f>
        <v>0.10147750351666512</v>
      </c>
      <c r="W12" s="102">
        <f>SQRT((1+1/n+C12^2/(n-1)))*SQRT(1+U12)</f>
        <v>1.1096483904789678</v>
      </c>
      <c r="X12" s="127">
        <f>s*t_crit*SQRT('14-1'!U12)</f>
        <v>0.34022829855124115</v>
      </c>
      <c r="Y12" s="129">
        <f>s*t_crit*SQRT(1+'14-1'!U12)</f>
        <v>0.93063982065041229</v>
      </c>
      <c r="Z12" s="127">
        <f>C12-X12</f>
        <v>-0.3059861710505653</v>
      </c>
      <c r="AA12" s="129">
        <f>C12+X12</f>
        <v>0.37447042605191699</v>
      </c>
      <c r="AB12" s="127">
        <f>C12-Y12</f>
        <v>-0.89639769314973639</v>
      </c>
      <c r="AC12" s="129">
        <f>C12+Y12</f>
        <v>0.96488194815108819</v>
      </c>
      <c r="AD12" s="91">
        <v>10</v>
      </c>
      <c r="AE12" s="78">
        <f>(AE$23-AE$3)/20+AE11</f>
        <v>-0.22932147427788105</v>
      </c>
      <c r="AF12" s="75">
        <f>m_CI*s*t_crit*SQRT(1/n+1/(n-1)*AE12^2)</f>
        <v>0.36676239039226988</v>
      </c>
      <c r="AG12" s="76">
        <f>m_PI*s*t_crit*SQRT(1+1/n+1/(n-1)*AE12^2)</f>
        <v>0.97449611606377862</v>
      </c>
      <c r="AH12" s="75">
        <f>AE12-AF12</f>
        <v>-0.59608386467015095</v>
      </c>
      <c r="AI12" s="76">
        <f>AE12+AF12</f>
        <v>0.13744091611438883</v>
      </c>
      <c r="AJ12" s="75">
        <f>AE12-AG12</f>
        <v>-1.2038175903416597</v>
      </c>
      <c r="AK12" s="76">
        <f>AE12+AG12</f>
        <v>0.74517464178589754</v>
      </c>
      <c r="AL12" s="85">
        <f>((1/n+1/(n-1)*AE12^2))</f>
        <v>7.0422976564165296E-2</v>
      </c>
      <c r="AM12" s="85">
        <f>s*t_crit*SQRT(1/n+(AE12^2/SST))</f>
        <v>0.22987134845787716</v>
      </c>
      <c r="AN12" s="87">
        <f>s*t_crit*SQRT(1+1/n+(AE12^2/SST))</f>
        <v>0.89620088009720333</v>
      </c>
      <c r="AO12" s="85">
        <f>AE12-AM12</f>
        <v>-0.45919282273575823</v>
      </c>
      <c r="AP12" s="87">
        <f>AE12+AM12</f>
        <v>5.498741799961071E-4</v>
      </c>
      <c r="AQ12" s="85">
        <f>AE12-AN12</f>
        <v>-1.1255223543750843</v>
      </c>
      <c r="AR12" s="87">
        <f>AE12+AN12</f>
        <v>0.66687940581932226</v>
      </c>
    </row>
    <row r="13" spans="1:44" ht="18" customHeight="1" x14ac:dyDescent="0.3">
      <c r="A13" s="10">
        <v>11</v>
      </c>
      <c r="B13" s="11">
        <v>0.13200638586421556</v>
      </c>
      <c r="C13" s="11">
        <v>-9.1546637899833805E-2</v>
      </c>
      <c r="D13" s="12">
        <v>1</v>
      </c>
      <c r="E13" s="13">
        <v>-1.3984568680186196</v>
      </c>
      <c r="F13" s="13">
        <v>-1.2000921651885732</v>
      </c>
      <c r="G13" s="13">
        <v>1.0165480075586717</v>
      </c>
      <c r="H13" s="14">
        <v>-0.37841000035556249</v>
      </c>
      <c r="I13" s="69">
        <v>4</v>
      </c>
      <c r="J13" s="70">
        <v>-9.1556721179580567</v>
      </c>
      <c r="K13" s="71">
        <v>-0.54916620540569916</v>
      </c>
      <c r="L13" s="71">
        <f>SQRT(MSR*S7/(n-1))</f>
        <v>0.11039421093185173</v>
      </c>
      <c r="M13" s="71">
        <f>K13/L13</f>
        <v>-4.9745924244588249</v>
      </c>
      <c r="N13" s="71">
        <f>_xlfn.T.DIST.2T(ABS(M13),n-m)</f>
        <v>5.5786387111912542E-4</v>
      </c>
      <c r="O13" s="72">
        <f>1-N13</f>
        <v>0.99944213612888089</v>
      </c>
      <c r="P13" s="73">
        <f>1-1/S7</f>
        <v>0.11417043362176171</v>
      </c>
      <c r="R13"/>
      <c r="S13"/>
      <c r="T13" s="56">
        <f>'14-1'!B13-'14-1'!C13</f>
        <v>0.22355302376404937</v>
      </c>
      <c r="U13" s="53">
        <f t="array" ref="U13">MMULT(MMULT('14-1'!D13:H13,'14-1'!$O$3:$S$7),TRANSPOSE('14-1'!D13:H13))/(n-1)</f>
        <v>0.24879143159105205</v>
      </c>
      <c r="V13" s="53">
        <f>SQRT(U13*(1/n+C13^2/(n-1)))</f>
        <v>0.12936393958933867</v>
      </c>
      <c r="W13" s="102">
        <f>SQRT((1+1/n+C13^2/(n-1)))*SQRT(1+U13)</f>
        <v>1.1544660041596182</v>
      </c>
      <c r="X13" s="127">
        <f>s*t_crit*SQRT('14-1'!U13)</f>
        <v>0.43206129630625306</v>
      </c>
      <c r="Y13" s="129">
        <f>s*t_crit*SQRT(1+'14-1'!U13)</f>
        <v>0.96799387622598043</v>
      </c>
      <c r="Z13" s="127">
        <f>C13-X13</f>
        <v>-0.52360793420608687</v>
      </c>
      <c r="AA13" s="129">
        <f>C13+X13</f>
        <v>0.34051465840641926</v>
      </c>
      <c r="AB13" s="127">
        <f>C13-Y13</f>
        <v>-1.0595405141258143</v>
      </c>
      <c r="AC13" s="129">
        <f>C13+Y13</f>
        <v>0.87644723832614657</v>
      </c>
      <c r="AD13" s="91">
        <v>11</v>
      </c>
      <c r="AE13" s="78">
        <f>(AE$23-AE$3)/20+AE12</f>
        <v>-5.6385077503680436E-2</v>
      </c>
      <c r="AF13" s="75">
        <f>m_CI*s*t_crit*SQRT(1/n+1/(n-1)*AE13^2)</f>
        <v>0.35745419881828278</v>
      </c>
      <c r="AG13" s="76">
        <f>m_PI*s*t_crit*SQRT(1+1/n+1/(n-1)*AE13^2)</f>
        <v>0.97288831734478765</v>
      </c>
      <c r="AH13" s="75">
        <f>AE13-AF13</f>
        <v>-0.41383927632196321</v>
      </c>
      <c r="AI13" s="76">
        <f>AE13+AF13</f>
        <v>0.30106912131460234</v>
      </c>
      <c r="AJ13" s="75">
        <f>AE13-AG13</f>
        <v>-1.029273394848468</v>
      </c>
      <c r="AK13" s="76">
        <f>AE13+AG13</f>
        <v>0.91650323984110726</v>
      </c>
      <c r="AL13" s="85">
        <f>((1/n+1/(n-1)*AE13^2))</f>
        <v>6.6893757878459234E-2</v>
      </c>
      <c r="AM13" s="85">
        <f>s*t_crit*SQRT(1/n+(AE13^2/SST))</f>
        <v>0.22403736273614552</v>
      </c>
      <c r="AN13" s="87">
        <f>s*t_crit*SQRT(1+1/n+(AE13^2/SST))</f>
        <v>0.89472225888648049</v>
      </c>
      <c r="AO13" s="85">
        <f>AE13-AM13</f>
        <v>-0.28042244023982599</v>
      </c>
      <c r="AP13" s="87">
        <f>AE13+AM13</f>
        <v>0.16765228523246509</v>
      </c>
      <c r="AQ13" s="85">
        <f>AE13-AN13</f>
        <v>-0.95110733639016098</v>
      </c>
      <c r="AR13" s="87">
        <f>AE13+AN13</f>
        <v>0.8383371813828</v>
      </c>
    </row>
    <row r="14" spans="1:44" ht="18" customHeight="1" x14ac:dyDescent="0.3">
      <c r="A14" s="10">
        <v>12</v>
      </c>
      <c r="B14" s="11">
        <v>-0.52129052376991336</v>
      </c>
      <c r="C14" s="11">
        <v>-0.51000597182602037</v>
      </c>
      <c r="D14" s="12">
        <v>1</v>
      </c>
      <c r="E14" s="13">
        <v>0.27172907964211762</v>
      </c>
      <c r="F14" s="13">
        <v>0.10072787480351077</v>
      </c>
      <c r="G14" s="13">
        <v>-0.7718758078516651</v>
      </c>
      <c r="H14" s="14">
        <v>0.31089757150651914</v>
      </c>
      <c r="I14" s="49" t="s">
        <v>2</v>
      </c>
      <c r="J14" s="82">
        <f>COUNT(D3:H3)</f>
        <v>5</v>
      </c>
      <c r="K14" s="109" t="s">
        <v>14</v>
      </c>
      <c r="L14" s="110" t="s">
        <v>18</v>
      </c>
      <c r="M14" s="111" t="s">
        <v>20</v>
      </c>
      <c r="N14" s="112" t="s">
        <v>19</v>
      </c>
      <c r="O14" s="113" t="s">
        <v>21</v>
      </c>
      <c r="P14" s="113" t="s">
        <v>27</v>
      </c>
      <c r="Q14"/>
      <c r="R14"/>
      <c r="S14"/>
      <c r="T14" s="56">
        <f>'14-1'!B14-'14-1'!C14</f>
        <v>-1.1284551943892995E-2</v>
      </c>
      <c r="U14" s="53">
        <f t="array" ref="U14">MMULT(MMULT('14-1'!D14:H14,'14-1'!$O$3:$S$7),TRANSPOSE('14-1'!D14:H14))/(n-1)</f>
        <v>0.13963801672399792</v>
      </c>
      <c r="V14" s="53">
        <f>SQRT(U14*(1/n+C14^2/(n-1)))</f>
        <v>0.10910333055534915</v>
      </c>
      <c r="W14" s="102">
        <f>SQRT((1+1/n+C14^2/(n-1)))*SQRT(1+U14)</f>
        <v>1.1121093591235687</v>
      </c>
      <c r="X14" s="127">
        <f>s*t_crit*SQRT('14-1'!U14)</f>
        <v>0.32369015509207677</v>
      </c>
      <c r="Y14" s="129">
        <f>s*t_crit*SQRT(1+'14-1'!U14)</f>
        <v>0.92472184852997386</v>
      </c>
      <c r="Z14" s="127">
        <f>C14-X14</f>
        <v>-0.83369612691809714</v>
      </c>
      <c r="AA14" s="129">
        <f>C14+X14</f>
        <v>-0.1863158167339436</v>
      </c>
      <c r="AB14" s="127">
        <f>C14-Y14</f>
        <v>-1.4347278203559943</v>
      </c>
      <c r="AC14" s="129">
        <f>C14+Y14</f>
        <v>0.41471587670395349</v>
      </c>
      <c r="AD14" s="91">
        <v>12</v>
      </c>
      <c r="AE14" s="78">
        <f>(AE$23-AE$3)/20+AE13</f>
        <v>0.11655131927052018</v>
      </c>
      <c r="AF14" s="75">
        <f>m_CI*s*t_crit*SQRT(1/n+1/(n-1)*AE14^2)</f>
        <v>0.35943442490726335</v>
      </c>
      <c r="AG14" s="76">
        <f>m_PI*s*t_crit*SQRT(1+1/n+1/(n-1)*AE14^2)</f>
        <v>0.97322712051036808</v>
      </c>
      <c r="AH14" s="75">
        <f>AE14-AF14</f>
        <v>-0.24288310563674317</v>
      </c>
      <c r="AI14" s="76">
        <f>AE14+AF14</f>
        <v>0.4759857441777835</v>
      </c>
      <c r="AJ14" s="75">
        <f>AE14-AG14</f>
        <v>-0.85667580123984788</v>
      </c>
      <c r="AK14" s="76">
        <f>AE14+AG14</f>
        <v>1.0897784397808883</v>
      </c>
      <c r="AL14" s="85">
        <f>((1/n+1/(n-1)*AE14^2))</f>
        <v>6.7636967382645144E-2</v>
      </c>
      <c r="AM14" s="85">
        <f>s*t_crit*SQRT(1/n+(AE14^2/SST))</f>
        <v>0.22527848574452861</v>
      </c>
      <c r="AN14" s="87">
        <f>s*t_crit*SQRT(1+1/n+(AE14^2/SST))</f>
        <v>0.89503384113926499</v>
      </c>
      <c r="AO14" s="85">
        <f>AE14-AM14</f>
        <v>-0.10872716647400843</v>
      </c>
      <c r="AP14" s="87">
        <f>AE14+AM14</f>
        <v>0.34182980501504878</v>
      </c>
      <c r="AQ14" s="85">
        <f>AE14-AN14</f>
        <v>-0.77848252186874478</v>
      </c>
      <c r="AR14" s="87">
        <f>AE14+AN14</f>
        <v>1.0115851604097852</v>
      </c>
    </row>
    <row r="15" spans="1:44" ht="18" customHeight="1" x14ac:dyDescent="0.3">
      <c r="A15" s="10">
        <v>13</v>
      </c>
      <c r="B15" s="11">
        <v>1.1638114019049224</v>
      </c>
      <c r="C15" s="11">
        <v>0.94680323760663843</v>
      </c>
      <c r="D15" s="12">
        <v>1</v>
      </c>
      <c r="E15" s="13">
        <v>1.6916715027952303</v>
      </c>
      <c r="F15" s="13">
        <v>0.96794123479823346</v>
      </c>
      <c r="G15" s="13">
        <v>-0.98546955263053015</v>
      </c>
      <c r="H15" s="14">
        <v>-0.8868807092291352</v>
      </c>
      <c r="I15" s="83" t="s">
        <v>1</v>
      </c>
      <c r="J15" s="84">
        <v>15</v>
      </c>
      <c r="K15" s="114" t="s">
        <v>15</v>
      </c>
      <c r="L15" s="115">
        <f>SUMSQ(y_hat_star)</f>
        <v>12.48862996824333</v>
      </c>
      <c r="M15" s="116">
        <f>m-1</f>
        <v>4</v>
      </c>
      <c r="N15" s="117">
        <f>L15/M15</f>
        <v>3.1221574920608326</v>
      </c>
      <c r="O15" s="118">
        <f>N15/N16</f>
        <v>20.657796743739304</v>
      </c>
      <c r="P15" s="118">
        <f>SQRT(MSR)</f>
        <v>0.38876342828983806</v>
      </c>
      <c r="Q15"/>
      <c r="R15"/>
      <c r="S15"/>
      <c r="T15" s="56">
        <f>'14-1'!B15-'14-1'!C15</f>
        <v>0.21700816429828396</v>
      </c>
      <c r="U15" s="53">
        <f t="array" ref="U15">MMULT(MMULT('14-1'!D15:H15,'14-1'!$O$3:$S$7),TRANSPOSE('14-1'!D15:H15))/(n-1)</f>
        <v>0.37765404728501956</v>
      </c>
      <c r="V15" s="53">
        <f>SQRT(U15*(1/n+C15^2/(n-1)))</f>
        <v>0.22216787962898013</v>
      </c>
      <c r="W15" s="102">
        <f>SQRT((1+1/n+C15^2/(n-1)))*SQRT(1+U15)</f>
        <v>1.2480827096107323</v>
      </c>
      <c r="X15" s="127">
        <f>s*t_crit*SQRT('14-1'!U15)</f>
        <v>0.53232238144847954</v>
      </c>
      <c r="Y15" s="129">
        <f>s*t_crit*SQRT(1+'14-1'!U15)</f>
        <v>1.0167115119030274</v>
      </c>
      <c r="Z15" s="127">
        <f>C15-X15</f>
        <v>0.41448085615815888</v>
      </c>
      <c r="AA15" s="129">
        <f>C15+X15</f>
        <v>1.4791256190551181</v>
      </c>
      <c r="AB15" s="127">
        <f>C15-Y15</f>
        <v>-6.9908274296389017E-2</v>
      </c>
      <c r="AC15" s="129">
        <f>C15+Y15</f>
        <v>1.9635147495096659</v>
      </c>
      <c r="AD15" s="91">
        <v>13</v>
      </c>
      <c r="AE15" s="78">
        <f>(AE$23-AE$3)/20+AE14</f>
        <v>0.28948771604472079</v>
      </c>
      <c r="AF15" s="75">
        <f>m_CI*s*t_crit*SQRT(1/n+1/(n-1)*AE15^2)</f>
        <v>0.37252309414724316</v>
      </c>
      <c r="AG15" s="76">
        <f>m_PI*s*t_crit*SQRT(1+1/n+1/(n-1)*AE15^2)</f>
        <v>0.97551049734801909</v>
      </c>
      <c r="AH15" s="75">
        <f>AE15-AF15</f>
        <v>-8.3035378102522373E-2</v>
      </c>
      <c r="AI15" s="76">
        <f>AE15+AF15</f>
        <v>0.66201081019196395</v>
      </c>
      <c r="AJ15" s="75">
        <f>AE15-AG15</f>
        <v>-0.6860227813032983</v>
      </c>
      <c r="AK15" s="76">
        <f>AE15+AG15</f>
        <v>1.2649982133927398</v>
      </c>
      <c r="AL15" s="85">
        <f>((1/n+1/(n-1)*AE15^2))</f>
        <v>7.2652605076723012E-2</v>
      </c>
      <c r="AM15" s="85">
        <f>s*t_crit*SQRT(1/n+(AE15^2/SST))</f>
        <v>0.23348191697556442</v>
      </c>
      <c r="AN15" s="87">
        <f>s*t_crit*SQRT(1+1/n+(AE15^2/SST))</f>
        <v>0.89713376159842717</v>
      </c>
      <c r="AO15" s="85">
        <f>AE15-AM15</f>
        <v>5.600579906915637E-2</v>
      </c>
      <c r="AP15" s="87">
        <f>AE15+AM15</f>
        <v>0.52296963302028521</v>
      </c>
      <c r="AQ15" s="85">
        <f>AE15-AN15</f>
        <v>-0.60764604555370638</v>
      </c>
      <c r="AR15" s="87">
        <f>AE15+AN15</f>
        <v>1.1866214776431478</v>
      </c>
    </row>
    <row r="16" spans="1:44" ht="18" customHeight="1" x14ac:dyDescent="0.3">
      <c r="A16" s="10">
        <v>14</v>
      </c>
      <c r="B16" s="11">
        <v>-0.42430624027783659</v>
      </c>
      <c r="C16" s="11">
        <v>0.33511640270105847</v>
      </c>
      <c r="D16" s="12">
        <v>1</v>
      </c>
      <c r="E16" s="13">
        <v>-0.27994414484060032</v>
      </c>
      <c r="F16" s="13">
        <v>-1.347607839826851</v>
      </c>
      <c r="G16" s="13">
        <v>1.2216658100844071</v>
      </c>
      <c r="H16" s="14">
        <v>0.24069031881686276</v>
      </c>
      <c r="K16" s="119" t="s">
        <v>16</v>
      </c>
      <c r="L16" s="120">
        <f>SUMSQ(T3:T17)</f>
        <v>1.5113700317566805</v>
      </c>
      <c r="M16" s="121">
        <f>n-m</f>
        <v>10</v>
      </c>
      <c r="N16" s="122">
        <f>L16/M16</f>
        <v>0.15113700317566806</v>
      </c>
      <c r="O16" s="113" t="s">
        <v>22</v>
      </c>
      <c r="P16" s="113" t="s">
        <v>40</v>
      </c>
      <c r="Q16"/>
      <c r="R16"/>
      <c r="S16"/>
      <c r="T16" s="56">
        <f>'14-1'!B16-'14-1'!C16</f>
        <v>-0.75942264297889506</v>
      </c>
      <c r="U16" s="53">
        <f t="array" ref="U16">MMULT(MMULT('14-1'!D16:H16,'14-1'!$O$3:$S$7),TRANSPOSE('14-1'!D16:H16))/(n-1)</f>
        <v>0.25511380362020303</v>
      </c>
      <c r="V16" s="53">
        <f>SQRT(U16*(1/n+C16^2/(n-1)))</f>
        <v>0.13803629519005717</v>
      </c>
      <c r="W16" s="102">
        <f>SQRT((1+1/n+C16^2/(n-1)))*SQRT(1+U16)</f>
        <v>1.1614026572097031</v>
      </c>
      <c r="X16" s="127">
        <f>s*t_crit*SQRT('14-1'!U16)</f>
        <v>0.43751669902352142</v>
      </c>
      <c r="Y16" s="129">
        <f>s*t_crit*SQRT(1+'14-1'!U16)</f>
        <v>0.97044115873637471</v>
      </c>
      <c r="Z16" s="127">
        <f>C16-X16</f>
        <v>-0.10240029632246295</v>
      </c>
      <c r="AA16" s="129">
        <f>C16+X16</f>
        <v>0.77263310172457988</v>
      </c>
      <c r="AB16" s="127">
        <f>C16-Y16</f>
        <v>-0.63532475603531624</v>
      </c>
      <c r="AC16" s="129">
        <f>C16+Y16</f>
        <v>1.3055575614374333</v>
      </c>
      <c r="AD16" s="91">
        <v>14</v>
      </c>
      <c r="AE16" s="78">
        <f>(AE$23-AE$3)/20+AE15</f>
        <v>0.46242411281892137</v>
      </c>
      <c r="AF16" s="75">
        <f>m_CI*s*t_crit*SQRT(1/n+1/(n-1)*AE16^2)</f>
        <v>0.39561920308129944</v>
      </c>
      <c r="AG16" s="76">
        <f>m_PI*s*t_crit*SQRT(1+1/n+1/(n-1)*AE16^2)</f>
        <v>0.97972485170266255</v>
      </c>
      <c r="AH16" s="75">
        <f>AE16-AF16</f>
        <v>6.6804909737621931E-2</v>
      </c>
      <c r="AI16" s="76">
        <f>AE16+AF16</f>
        <v>0.85804331590022076</v>
      </c>
      <c r="AJ16" s="75">
        <f>AE16-AG16</f>
        <v>-0.51730073888374117</v>
      </c>
      <c r="AK16" s="76">
        <f>AE16+AG16</f>
        <v>1.4421489645215839</v>
      </c>
      <c r="AL16" s="85">
        <f>((1/n+1/(n-1)*AE16^2))</f>
        <v>8.1940670960692852E-2</v>
      </c>
      <c r="AM16" s="85">
        <f>s*t_crit*SQRT(1/n+(AE16^2/SST))</f>
        <v>0.24795759344588947</v>
      </c>
      <c r="AN16" s="87">
        <f>s*t_crit*SQRT(1+1/n+(AE16^2/SST))</f>
        <v>0.90100951648283734</v>
      </c>
      <c r="AO16" s="85">
        <f>AE16-AM16</f>
        <v>0.21446651937303191</v>
      </c>
      <c r="AP16" s="87">
        <f>AE16+AM16</f>
        <v>0.71038170626481079</v>
      </c>
      <c r="AQ16" s="85">
        <f>AE16-AN16</f>
        <v>-0.43858540366391596</v>
      </c>
      <c r="AR16" s="87">
        <f>AE16+AN16</f>
        <v>1.3634336293017588</v>
      </c>
    </row>
    <row r="17" spans="1:44" ht="18" customHeight="1" x14ac:dyDescent="0.3">
      <c r="A17" s="15">
        <v>15</v>
      </c>
      <c r="B17" s="16">
        <v>-0.2424607087301924</v>
      </c>
      <c r="C17" s="16">
        <v>-5.7671385260985697E-2</v>
      </c>
      <c r="D17" s="17">
        <v>1</v>
      </c>
      <c r="E17" s="18">
        <v>-0.60412325613456863</v>
      </c>
      <c r="F17" s="18">
        <v>0.99029209459191192</v>
      </c>
      <c r="G17" s="18">
        <v>-0.70915383517850639</v>
      </c>
      <c r="H17" s="19">
        <v>-1.1506897799417837</v>
      </c>
      <c r="K17" s="119" t="s">
        <v>17</v>
      </c>
      <c r="L17" s="123">
        <f>SUMSQ(y_star)</f>
        <v>14.000000000000012</v>
      </c>
      <c r="M17" s="121">
        <f>n-1</f>
        <v>14</v>
      </c>
      <c r="N17" s="122">
        <f>L17/M17</f>
        <v>1.0000000000000009</v>
      </c>
      <c r="O17" s="124">
        <f>FDIST(O15,m-1,n-m)</f>
        <v>8.0061623497928557E-5</v>
      </c>
      <c r="P17" s="125">
        <f>_xlfn.T.INV.2T(0.05,n-m)</f>
        <v>2.2281388519862744</v>
      </c>
      <c r="Q17"/>
      <c r="R17"/>
      <c r="S17"/>
      <c r="T17" s="57">
        <f>'14-1'!B17-'14-1'!C17</f>
        <v>-0.18478932346920671</v>
      </c>
      <c r="U17" s="54">
        <f t="array" ref="U17">MMULT(MMULT('14-1'!D17:H17,'14-1'!$O$3:$S$7),TRANSPOSE('14-1'!D17:H17))/(n-1)</f>
        <v>0.4152877661698447</v>
      </c>
      <c r="V17" s="54">
        <f>SQRT(U17*(1/n+C17^2/(n-1)))</f>
        <v>0.16668686585935727</v>
      </c>
      <c r="W17" s="90">
        <f>SQRT((1+1/n+C17^2/(n-1)))*SQRT(1+U17)</f>
        <v>1.2288110166768436</v>
      </c>
      <c r="X17" s="128">
        <f>s*t_crit*SQRT('14-1'!U17)</f>
        <v>0.55821592690353705</v>
      </c>
      <c r="Y17" s="130">
        <f>s*t_crit*SQRT(1+'14-1'!U17)</f>
        <v>1.0305048285641043</v>
      </c>
      <c r="Z17" s="128">
        <f>C17-X17</f>
        <v>-0.61588731216452275</v>
      </c>
      <c r="AA17" s="130">
        <f>C17+X17</f>
        <v>0.50054454164255135</v>
      </c>
      <c r="AB17" s="128">
        <f>C17-Y17</f>
        <v>-1.0881762138250899</v>
      </c>
      <c r="AC17" s="130">
        <f>C17+Y17</f>
        <v>0.97283344330311861</v>
      </c>
      <c r="AD17" s="91">
        <v>15</v>
      </c>
      <c r="AE17" s="78">
        <f>(AE$23-AE$3)/20+AE16</f>
        <v>0.63536050959312196</v>
      </c>
      <c r="AF17" s="75">
        <f>m_CI*s*t_crit*SQRT(1/n+1/(n-1)*AE17^2)</f>
        <v>0.42710233004439946</v>
      </c>
      <c r="AG17" s="76">
        <f>m_PI*s*t_crit*SQRT(1+1/n+1/(n-1)*AE17^2)</f>
        <v>0.98584541989085461</v>
      </c>
      <c r="AH17" s="75">
        <f>AE17-AF17</f>
        <v>0.2082581795487225</v>
      </c>
      <c r="AI17" s="76">
        <f>AE17+AF17</f>
        <v>1.0624628396375213</v>
      </c>
      <c r="AJ17" s="75">
        <f>AE17-AG17</f>
        <v>-0.35048491029773265</v>
      </c>
      <c r="AK17" s="76">
        <f>AE17+AG17</f>
        <v>1.6212059294839767</v>
      </c>
      <c r="AL17" s="85">
        <f>((1/n+1/(n-1)*AE17^2))</f>
        <v>9.5501165034554636E-2</v>
      </c>
      <c r="AM17" s="85">
        <f>s*t_crit*SQRT(1/n+(AE17^2/SST))</f>
        <v>0.26768990253281066</v>
      </c>
      <c r="AN17" s="87">
        <f>s*t_crit*SQRT(1+1/n+(AE17^2/SST))</f>
        <v>0.90663833173056652</v>
      </c>
      <c r="AO17" s="85">
        <f>AE17-AM17</f>
        <v>0.36767060706031129</v>
      </c>
      <c r="AP17" s="87">
        <f>AE17+AM17</f>
        <v>0.90305041212593262</v>
      </c>
      <c r="AQ17" s="85">
        <f>AE17-AN17</f>
        <v>-0.27127782213744456</v>
      </c>
      <c r="AR17" s="87">
        <f>AE17+AN17</f>
        <v>1.5419988413236885</v>
      </c>
    </row>
    <row r="18" spans="1:44" ht="18" customHeight="1" x14ac:dyDescent="0.3">
      <c r="L18"/>
      <c r="M18"/>
      <c r="N18"/>
      <c r="O18"/>
      <c r="P18"/>
      <c r="Q18"/>
      <c r="R18"/>
      <c r="S18"/>
      <c r="T18"/>
      <c r="U18"/>
      <c r="Z18" s="1"/>
      <c r="AD18" s="91">
        <v>16</v>
      </c>
      <c r="AE18" s="78">
        <f>(AE$23-AE$3)/20+AE17</f>
        <v>0.80829690636732254</v>
      </c>
      <c r="AF18" s="75">
        <f>m_CI*s*t_crit*SQRT(1/n+1/(n-1)*AE18^2)</f>
        <v>0.46527303287537924</v>
      </c>
      <c r="AG18" s="76">
        <f>m_PI*s*t_crit*SQRT(1+1/n+1/(n-1)*AE18^2)</f>
        <v>0.99383698414986255</v>
      </c>
      <c r="AH18" s="75">
        <f>AE18-AF18</f>
        <v>0.3430238734919433</v>
      </c>
      <c r="AI18" s="76">
        <f>AE18+AF18</f>
        <v>1.2735699392427018</v>
      </c>
      <c r="AJ18" s="75">
        <f>AE18-AG18</f>
        <v>-0.18554007778254</v>
      </c>
      <c r="AK18" s="76">
        <f>AE18+AG18</f>
        <v>1.8021338905171851</v>
      </c>
      <c r="AL18" s="85">
        <f>((1/n+1/(n-1)*AE18^2))</f>
        <v>0.11333408729830839</v>
      </c>
      <c r="AM18" s="85">
        <f>s*t_crit*SQRT(1/n+(AE18^2/SST))</f>
        <v>0.29161370486695309</v>
      </c>
      <c r="AN18" s="87">
        <f>s*t_crit*SQRT(1+1/n+(AE18^2/SST))</f>
        <v>0.91398781912637617</v>
      </c>
      <c r="AO18" s="85">
        <f>AE18-AM18</f>
        <v>0.5166832015003695</v>
      </c>
      <c r="AP18" s="87">
        <f>AE18+AM18</f>
        <v>1.0999106112342756</v>
      </c>
      <c r="AQ18" s="85">
        <f>AE18-AN18</f>
        <v>-0.10569091275905362</v>
      </c>
      <c r="AR18" s="87">
        <f>AE18+AN18</f>
        <v>1.7222847254936986</v>
      </c>
    </row>
    <row r="19" spans="1:44" ht="18" customHeight="1" x14ac:dyDescent="0.3">
      <c r="A19" s="5" t="s">
        <v>36</v>
      </c>
      <c r="B19" s="94">
        <f t="shared" ref="B19:H19" si="0">AVERAGE(B3:B17)</f>
        <v>-1.8318679906315082E-16</v>
      </c>
      <c r="C19" s="94">
        <f t="shared" si="0"/>
        <v>-2.5905203907920321E-16</v>
      </c>
      <c r="D19" s="95">
        <f t="shared" si="0"/>
        <v>1</v>
      </c>
      <c r="E19" s="96">
        <f t="shared" si="0"/>
        <v>0</v>
      </c>
      <c r="F19" s="96">
        <f t="shared" si="0"/>
        <v>0</v>
      </c>
      <c r="G19" s="96">
        <f t="shared" si="0"/>
        <v>0</v>
      </c>
      <c r="H19" s="97">
        <f t="shared" si="0"/>
        <v>0</v>
      </c>
      <c r="L19"/>
      <c r="M19"/>
      <c r="N19"/>
      <c r="O19"/>
      <c r="P19"/>
      <c r="Q19"/>
      <c r="R19"/>
      <c r="S19"/>
      <c r="U19"/>
      <c r="Z19" s="1"/>
      <c r="AD19" s="91">
        <v>17</v>
      </c>
      <c r="AE19" s="78">
        <f>(AE$23-AE$3)/20+AE18</f>
        <v>0.98123330314152313</v>
      </c>
      <c r="AF19" s="75">
        <f>m_CI*s*t_crit*SQRT(1/n+1/(n-1)*AE19^2)</f>
        <v>0.50862789760470128</v>
      </c>
      <c r="AG19" s="76">
        <f>m_PI*s*t_crit*SQRT(1+1/n+1/(n-1)*AE19^2)</f>
        <v>1.0036548522658377</v>
      </c>
      <c r="AH19" s="75">
        <f>AE19-AF19</f>
        <v>0.47260540553682184</v>
      </c>
      <c r="AI19" s="76">
        <f>AE19+AF19</f>
        <v>1.4898612007462244</v>
      </c>
      <c r="AJ19" s="75">
        <f>AE19-AG19</f>
        <v>-2.2421549124314599E-2</v>
      </c>
      <c r="AK19" s="76">
        <f>AE19+AG19</f>
        <v>1.984888155407361</v>
      </c>
      <c r="AL19" s="85">
        <f>((1/n+1/(n-1)*AE19^2))</f>
        <v>0.13543943775195411</v>
      </c>
      <c r="AM19" s="85">
        <f>s*t_crit*SQRT(1/n+(AE19^2/SST))</f>
        <v>0.31878672336233083</v>
      </c>
      <c r="AN19" s="87">
        <f>s*t_crit*SQRT(1+1/n+(AE19^2/SST))</f>
        <v>0.92301687722232384</v>
      </c>
      <c r="AO19" s="85">
        <f>AE19-AM19</f>
        <v>0.6624465797791923</v>
      </c>
      <c r="AP19" s="87">
        <f>AE19+AM19</f>
        <v>1.300020026503854</v>
      </c>
      <c r="AQ19" s="85">
        <f>AE19-AN19</f>
        <v>5.8216425919199288E-2</v>
      </c>
      <c r="AR19" s="87">
        <f>AE19+AN19</f>
        <v>1.904250180363847</v>
      </c>
    </row>
    <row r="20" spans="1:44" ht="18" customHeight="1" x14ac:dyDescent="0.3">
      <c r="A20" s="15" t="s">
        <v>37</v>
      </c>
      <c r="B20" s="98">
        <f t="shared" ref="B20:H20" si="1">STDEV(B3:B17)</f>
        <v>1.0000000000000004</v>
      </c>
      <c r="C20" s="93">
        <f t="shared" si="1"/>
        <v>0.94448133794779998</v>
      </c>
      <c r="D20" s="99">
        <f t="shared" si="1"/>
        <v>0</v>
      </c>
      <c r="E20" s="100">
        <f t="shared" si="1"/>
        <v>1</v>
      </c>
      <c r="F20" s="100">
        <f t="shared" si="1"/>
        <v>1</v>
      </c>
      <c r="G20" s="100">
        <f t="shared" si="1"/>
        <v>1</v>
      </c>
      <c r="H20" s="101">
        <f t="shared" si="1"/>
        <v>0.99999999999999978</v>
      </c>
      <c r="L20"/>
      <c r="M20"/>
      <c r="N20"/>
      <c r="O20"/>
      <c r="P20"/>
      <c r="Q20"/>
      <c r="R20"/>
      <c r="S20"/>
      <c r="U20"/>
      <c r="Z20" s="1"/>
      <c r="AD20" s="91">
        <v>18</v>
      </c>
      <c r="AE20" s="78">
        <f>(AE$23-AE$3)/20+AE19</f>
        <v>1.1541696999157238</v>
      </c>
      <c r="AF20" s="75">
        <f>m_CI*s*t_crit*SQRT(1/n+1/(n-1)*AE20^2)</f>
        <v>0.55595542054334635</v>
      </c>
      <c r="AG20" s="76">
        <f>m_PI*s*t_crit*SQRT(1+1/n+1/(n-1)*AE20^2)</f>
        <v>1.0152460421778426</v>
      </c>
      <c r="AH20" s="75">
        <f>AE20-AF20</f>
        <v>0.59821427937237748</v>
      </c>
      <c r="AI20" s="76">
        <f>AE20+AF20</f>
        <v>1.7101251204590702</v>
      </c>
      <c r="AJ20" s="75">
        <f>AE20-AG20</f>
        <v>0.13892365773788118</v>
      </c>
      <c r="AK20" s="76">
        <f>AE20+AG20</f>
        <v>2.1694157420935665</v>
      </c>
      <c r="AL20" s="85">
        <f>((1/n+1/(n-1)*AE20^2))</f>
        <v>0.16181721639549179</v>
      </c>
      <c r="AM20" s="85">
        <f>s*t_crit*SQRT(1/n+(AE20^2/SST))</f>
        <v>0.34844963810514729</v>
      </c>
      <c r="AN20" s="87">
        <f>s*t_crit*SQRT(1+1/n+(AE20^2/SST))</f>
        <v>0.9336767807655747</v>
      </c>
      <c r="AO20" s="85">
        <f>AE20-AM20</f>
        <v>0.80572006181057654</v>
      </c>
      <c r="AP20" s="87">
        <f>AE20+AM20</f>
        <v>1.502619338020871</v>
      </c>
      <c r="AQ20" s="85">
        <f>AE20-AN20</f>
        <v>0.22049291915014912</v>
      </c>
      <c r="AR20" s="87">
        <f>AE20+AN20</f>
        <v>2.0878464806812986</v>
      </c>
    </row>
    <row r="21" spans="1:44" ht="18" customHeight="1" x14ac:dyDescent="0.3">
      <c r="A21" s="5" t="s">
        <v>34</v>
      </c>
      <c r="B21" s="6">
        <f t="shared" ref="B21:H21" si="2">MIN(B3:B17)</f>
        <v>-1.5072974059393618</v>
      </c>
      <c r="C21" s="6">
        <f t="shared" si="2"/>
        <v>-1.7857490452456863</v>
      </c>
      <c r="D21" s="7">
        <f t="shared" si="2"/>
        <v>1</v>
      </c>
      <c r="E21" s="8">
        <f t="shared" si="2"/>
        <v>-1.3984568680186196</v>
      </c>
      <c r="F21" s="8">
        <f t="shared" si="2"/>
        <v>-1.347607839826851</v>
      </c>
      <c r="G21" s="8">
        <f t="shared" si="2"/>
        <v>-1.4872453340158001</v>
      </c>
      <c r="H21" s="9">
        <f t="shared" si="2"/>
        <v>-2.2442209278958267</v>
      </c>
      <c r="L21"/>
      <c r="M21"/>
      <c r="N21"/>
      <c r="O21"/>
      <c r="P21"/>
      <c r="Q21"/>
      <c r="R21"/>
      <c r="S21"/>
      <c r="AD21" s="91">
        <v>19</v>
      </c>
      <c r="AE21" s="78">
        <f>(AE$23-AE$3)/20+AE20</f>
        <v>1.3271060966899244</v>
      </c>
      <c r="AF21" s="75">
        <f>m_CI*s*t_crit*SQRT(1/n+1/(n-1)*AE21^2)</f>
        <v>0.60632604211785746</v>
      </c>
      <c r="AG21" s="76">
        <f>m_PI*s*t_crit*SQRT(1+1/n+1/(n-1)*AE21^2)</f>
        <v>1.0285506025991789</v>
      </c>
      <c r="AH21" s="75">
        <f>AE21-AF21</f>
        <v>0.72078005457206695</v>
      </c>
      <c r="AI21" s="76">
        <f>AE21+AF21</f>
        <v>1.933432138807782</v>
      </c>
      <c r="AJ21" s="75">
        <f>AE21-AG21</f>
        <v>0.29855549409074555</v>
      </c>
      <c r="AK21" s="76">
        <f>AE21+AG21</f>
        <v>2.3556566992891033</v>
      </c>
      <c r="AL21" s="85">
        <f>((1/n+1/(n-1)*AE21^2))</f>
        <v>0.19246742322892146</v>
      </c>
      <c r="AM21" s="85">
        <f>s*t_crit*SQRT(1/n+(AE21^2/SST))</f>
        <v>0.38001983997783723</v>
      </c>
      <c r="AN21" s="87">
        <f>s*t_crit*SQRT(1+1/n+(AE21^2/SST))</f>
        <v>0.94591239521529702</v>
      </c>
      <c r="AO21" s="85">
        <f>AE21-AM21</f>
        <v>0.94708625671208724</v>
      </c>
      <c r="AP21" s="87">
        <f>AE21+AM21</f>
        <v>1.7071259366677616</v>
      </c>
      <c r="AQ21" s="85">
        <f>AE21-AN21</f>
        <v>0.38119370147462739</v>
      </c>
      <c r="AR21" s="87">
        <f>AE21+AN21</f>
        <v>2.2730184919052214</v>
      </c>
    </row>
    <row r="22" spans="1:44" ht="18" customHeight="1" x14ac:dyDescent="0.25">
      <c r="A22" s="15" t="s">
        <v>35</v>
      </c>
      <c r="B22" s="16">
        <f t="shared" ref="B22:H22" si="3">MAX(B3:B17)</f>
        <v>1.6729788902383258</v>
      </c>
      <c r="C22" s="16">
        <f t="shared" si="3"/>
        <v>1.4694445410936996</v>
      </c>
      <c r="D22" s="17">
        <f t="shared" si="3"/>
        <v>1</v>
      </c>
      <c r="E22" s="18">
        <f t="shared" si="3"/>
        <v>1.6916715027952303</v>
      </c>
      <c r="F22" s="18">
        <f t="shared" si="3"/>
        <v>1.9893755273693374</v>
      </c>
      <c r="G22" s="18">
        <f t="shared" si="3"/>
        <v>1.4064413512026315</v>
      </c>
      <c r="H22" s="19">
        <f t="shared" si="3"/>
        <v>1.7809948929778106</v>
      </c>
      <c r="J22" s="104"/>
      <c r="AD22" s="91">
        <v>20</v>
      </c>
      <c r="AE22" s="78">
        <f>(AE$23-AE$3)/20+AE21</f>
        <v>1.500042493464125</v>
      </c>
      <c r="AF22" s="75">
        <f>m_CI*s*t_crit*SQRT(1/n+1/(n-1)*AE22^2)</f>
        <v>0.65904237904561824</v>
      </c>
      <c r="AG22" s="76">
        <f>m_PI*s*t_crit*SQRT(1+1/n+1/(n-1)*AE22^2)</f>
        <v>1.0435029996721819</v>
      </c>
      <c r="AH22" s="75">
        <f>AE22-AF22</f>
        <v>0.84100011441850675</v>
      </c>
      <c r="AI22" s="76">
        <f>AE22+AF22</f>
        <v>2.1590848725097431</v>
      </c>
      <c r="AJ22" s="75">
        <f>AE22-AG22</f>
        <v>0.45653949379194314</v>
      </c>
      <c r="AK22" s="76">
        <f>AE22+AG22</f>
        <v>2.5435454931363068</v>
      </c>
      <c r="AL22" s="85">
        <f>((1/n+1/(n-1)*AE22^2))</f>
        <v>0.22739005825224307</v>
      </c>
      <c r="AM22" s="85">
        <f>s*t_crit*SQRT(1/n+(AE22^2/SST))</f>
        <v>0.41306023826508637</v>
      </c>
      <c r="AN22" s="87">
        <f>s*t_crit*SQRT(1+1/n+(AE22^2/SST))</f>
        <v>0.9596634519876065</v>
      </c>
      <c r="AO22" s="85">
        <f>AE22-AM22</f>
        <v>1.0869822551990387</v>
      </c>
      <c r="AP22" s="87">
        <f>AE22+AM22</f>
        <v>1.9131027317292113</v>
      </c>
      <c r="AQ22" s="85">
        <f>AE22-AN22</f>
        <v>0.5403790414765185</v>
      </c>
      <c r="AR22" s="87">
        <f>AE22+AN22</f>
        <v>2.4597059454517316</v>
      </c>
    </row>
    <row r="23" spans="1:44" ht="18" customHeight="1" x14ac:dyDescent="0.3">
      <c r="A23" s="1"/>
      <c r="B23" s="1"/>
      <c r="O23"/>
      <c r="P23"/>
      <c r="Q23"/>
      <c r="R23"/>
      <c r="S23"/>
      <c r="AD23" s="92">
        <v>21</v>
      </c>
      <c r="AE23" s="79">
        <f>MAX(y_star)</f>
        <v>1.6729788902383258</v>
      </c>
      <c r="AF23" s="80">
        <f>m_CI*s*t_crit*SQRT(1/n+1/(n-1)*AE23^2)</f>
        <v>0.71358474879648115</v>
      </c>
      <c r="AG23" s="81">
        <f>m_PI*s*t_crit*SQRT(1+1/n+1/(n-1)*AE23^2)</f>
        <v>1.060033504569972</v>
      </c>
      <c r="AH23" s="80">
        <f>AE23-AF23</f>
        <v>0.95939414144184465</v>
      </c>
      <c r="AI23" s="81">
        <f>AE23+AF23</f>
        <v>2.3865636390348071</v>
      </c>
      <c r="AJ23" s="80">
        <f>AE23-AG23</f>
        <v>0.61294538566835377</v>
      </c>
      <c r="AK23" s="81">
        <f>AE23+AG23</f>
        <v>2.7330123948082976</v>
      </c>
      <c r="AL23" s="86">
        <f>((1/n+1/(n-1)*AE23^2))</f>
        <v>0.26658512146545665</v>
      </c>
      <c r="AM23" s="86">
        <f>s*t_crit*SQRT(1/n+(AE23^2/SST))</f>
        <v>0.44724511766155139</v>
      </c>
      <c r="AN23" s="88">
        <f>s*t_crit*SQRT(1+1/n+(AE23^2/SST))</f>
        <v>0.97486582457138882</v>
      </c>
      <c r="AO23" s="86">
        <f>AE23-AM23</f>
        <v>1.2257337725767745</v>
      </c>
      <c r="AP23" s="88">
        <f>AE23+AM23</f>
        <v>2.1202240078998771</v>
      </c>
      <c r="AQ23" s="86">
        <f>AE23-AN23</f>
        <v>0.69811306566693698</v>
      </c>
      <c r="AR23" s="88">
        <f>AE23+AN23</f>
        <v>2.6478447148097146</v>
      </c>
    </row>
    <row r="24" spans="1:44" ht="18" customHeight="1" x14ac:dyDescent="0.55000000000000004">
      <c r="A24" s="1"/>
      <c r="B24" s="1"/>
      <c r="O24"/>
      <c r="P24"/>
      <c r="Q24" s="131"/>
      <c r="R24" s="131"/>
      <c r="S24" s="131"/>
      <c r="T24" s="137"/>
    </row>
    <row r="25" spans="1:44" ht="18" customHeight="1" x14ac:dyDescent="0.3">
      <c r="A25" s="1"/>
      <c r="B25" s="1"/>
      <c r="O25"/>
      <c r="P25"/>
      <c r="Q25"/>
      <c r="R25"/>
      <c r="S25"/>
    </row>
    <row r="26" spans="1:44" ht="18" customHeight="1" x14ac:dyDescent="0.3">
      <c r="A26" s="1"/>
      <c r="B26" s="1"/>
      <c r="O26"/>
      <c r="P26"/>
      <c r="Q26"/>
      <c r="R26"/>
      <c r="S26"/>
    </row>
    <row r="27" spans="1:44" ht="18" customHeight="1" x14ac:dyDescent="0.3">
      <c r="A27" s="1"/>
      <c r="B27" s="1"/>
      <c r="O27"/>
      <c r="P27"/>
      <c r="Q27"/>
      <c r="R27"/>
      <c r="S27"/>
    </row>
    <row r="28" spans="1:44" ht="18" customHeight="1" x14ac:dyDescent="0.3">
      <c r="A28" s="1"/>
      <c r="B28" s="1"/>
      <c r="O28"/>
      <c r="P28"/>
      <c r="Q28"/>
      <c r="R28"/>
      <c r="S28"/>
    </row>
    <row r="29" spans="1:44" ht="18" customHeight="1" x14ac:dyDescent="0.3">
      <c r="A29" s="1"/>
      <c r="B29" s="1"/>
      <c r="O29"/>
      <c r="P29"/>
      <c r="Q29"/>
      <c r="R29"/>
      <c r="S29"/>
    </row>
    <row r="30" spans="1:44" ht="18" customHeight="1" x14ac:dyDescent="0.3">
      <c r="A30" s="1"/>
      <c r="B30" s="1"/>
      <c r="O30"/>
      <c r="P30"/>
      <c r="Q30"/>
      <c r="R30"/>
      <c r="S30"/>
    </row>
    <row r="31" spans="1:44" ht="18" customHeight="1" x14ac:dyDescent="0.3">
      <c r="A31" s="1"/>
      <c r="B31" s="1"/>
      <c r="O31"/>
      <c r="P31"/>
      <c r="Q31"/>
      <c r="R31"/>
      <c r="S31"/>
    </row>
    <row r="32" spans="1:44" ht="18" customHeight="1" x14ac:dyDescent="0.3">
      <c r="A32" s="1"/>
      <c r="B32" s="1"/>
      <c r="O32"/>
      <c r="P32"/>
      <c r="Q32"/>
      <c r="R32"/>
      <c r="S32"/>
    </row>
    <row r="33" spans="1:2" ht="18" customHeight="1" x14ac:dyDescent="0.25">
      <c r="A33" s="1"/>
      <c r="B33" s="1"/>
    </row>
    <row r="34" spans="1:2" ht="18" customHeight="1" x14ac:dyDescent="0.25">
      <c r="A34" s="1"/>
      <c r="B34" s="1"/>
    </row>
    <row r="35" spans="1:2" ht="18" customHeight="1" x14ac:dyDescent="0.25">
      <c r="A35" s="1"/>
      <c r="B35" s="1"/>
    </row>
    <row r="36" spans="1:2" ht="18" customHeight="1" x14ac:dyDescent="0.25">
      <c r="A36" s="1"/>
      <c r="B36" s="1"/>
    </row>
    <row r="37" spans="1:2" ht="18" customHeight="1" x14ac:dyDescent="0.25">
      <c r="A37" s="1"/>
      <c r="B37" s="1"/>
    </row>
    <row r="38" spans="1:2" ht="18" customHeight="1" x14ac:dyDescent="0.25">
      <c r="A38" s="1"/>
      <c r="B38" s="1"/>
    </row>
    <row r="53" spans="59:60" ht="18" customHeight="1" x14ac:dyDescent="0.25">
      <c r="BG53" s="104"/>
      <c r="BH53" s="104"/>
    </row>
    <row r="71" spans="36:60" ht="18" customHeight="1" x14ac:dyDescent="0.25">
      <c r="BG71" s="104"/>
      <c r="BH71" s="104"/>
    </row>
    <row r="72" spans="36:60" ht="18" customHeight="1" x14ac:dyDescent="0.25">
      <c r="BG72" s="104"/>
      <c r="BH72" s="104"/>
    </row>
    <row r="73" spans="36:60" ht="18" customHeight="1" x14ac:dyDescent="0.25">
      <c r="BG73" s="104"/>
      <c r="BH73" s="104"/>
    </row>
    <row r="74" spans="36:60" ht="18" customHeight="1" x14ac:dyDescent="0.25">
      <c r="AJ74" s="104"/>
      <c r="AK74" s="104"/>
      <c r="AL74" s="104"/>
      <c r="AM74" s="104"/>
      <c r="AN74" s="104"/>
      <c r="AT74" s="104"/>
      <c r="AU74" s="104"/>
      <c r="AV74" s="104"/>
      <c r="AW74" s="104"/>
      <c r="AX74" s="104"/>
      <c r="BD74" s="104"/>
      <c r="BE74" s="104"/>
      <c r="BF74" s="104"/>
      <c r="BG74" s="104"/>
      <c r="BH74" s="104"/>
    </row>
  </sheetData>
  <mergeCells count="27">
    <mergeCell ref="AQ1:AQ2"/>
    <mergeCell ref="AR1:AR2"/>
    <mergeCell ref="AF1:AF2"/>
    <mergeCell ref="AG1:AG2"/>
    <mergeCell ref="AE1:AE2"/>
    <mergeCell ref="AK1:AK2"/>
    <mergeCell ref="AJ1:AJ2"/>
    <mergeCell ref="AH1:AH2"/>
    <mergeCell ref="AI1:AI2"/>
    <mergeCell ref="AL1:AL2"/>
    <mergeCell ref="AM1:AM2"/>
    <mergeCell ref="AN1:AN2"/>
    <mergeCell ref="AO1:AO2"/>
    <mergeCell ref="AP1:AP2"/>
    <mergeCell ref="A1:A2"/>
    <mergeCell ref="D1:H1"/>
    <mergeCell ref="J1:N1"/>
    <mergeCell ref="O1:S1"/>
    <mergeCell ref="U1:U2"/>
    <mergeCell ref="T1:T2"/>
    <mergeCell ref="Z1:Z2"/>
    <mergeCell ref="AA1:AA2"/>
    <mergeCell ref="AB1:AB2"/>
    <mergeCell ref="X1:X2"/>
    <mergeCell ref="Y1:Y2"/>
    <mergeCell ref="AC1:AC2"/>
    <mergeCell ref="AD1:AD2"/>
  </mergeCells>
  <conditionalFormatting sqref="K7:M7 N6 K6:L6 M5:N5 K5 L4:N4">
    <cfRule type="dataBar" priority="4">
      <dataBar>
        <cfvo type="min"/>
        <cfvo type="max"/>
        <color rgb="FFD7FFFF"/>
      </dataBar>
      <extLst>
        <ext xmlns:x14="http://schemas.microsoft.com/office/spreadsheetml/2009/9/main" uri="{B025F937-C7B1-47D3-B67F-A62EFF666E3E}">
          <x14:id>{8CD622A5-1D3E-42C8-9A90-E9377BEBC0E9}</x14:id>
        </ext>
      </extLst>
    </cfRule>
  </conditionalFormatting>
  <conditionalFormatting sqref="P10:P13">
    <cfRule type="cellIs" dxfId="1" priority="16" operator="between">
      <formula>-0.0001</formula>
      <formula>0.0001</formula>
    </cfRule>
  </conditionalFormatting>
  <conditionalFormatting sqref="I10:I13 K10:O13">
    <cfRule type="expression" dxfId="0" priority="80">
      <formula>#REF!=$N$13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CD622A5-1D3E-42C8-9A90-E9377BEBC0E9}">
            <x14:dataBar minLength="0" maxLength="100" border="1" gradient="0" negativeBarBorderColorSameAsPositive="0">
              <x14:cfvo type="autoMin"/>
              <x14:cfvo type="autoMax"/>
              <x14:borderColor theme="1"/>
              <x14:negativeFillColor rgb="FFFFD7D7"/>
              <x14:negativeBorderColor theme="1"/>
              <x14:axisColor rgb="FF000000"/>
            </x14:dataBar>
          </x14:cfRule>
          <xm:sqref>K7:M7 N6 K6:L6 M5:N5 K5 L4:N4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34</vt:i4>
      </vt:variant>
    </vt:vector>
  </HeadingPairs>
  <TitlesOfParts>
    <vt:vector size="35" baseType="lpstr">
      <vt:lpstr>14-1</vt:lpstr>
      <vt:lpstr>a</vt:lpstr>
      <vt:lpstr>e_0</vt:lpstr>
      <vt:lpstr>E_1</vt:lpstr>
      <vt:lpstr>E_2</vt:lpstr>
      <vt:lpstr>E_3</vt:lpstr>
      <vt:lpstr>E_4</vt:lpstr>
      <vt:lpstr>h_max</vt:lpstr>
      <vt:lpstr>m</vt:lpstr>
      <vt:lpstr>m_CI</vt:lpstr>
      <vt:lpstr>m_PI</vt:lpstr>
      <vt:lpstr>MSR</vt:lpstr>
      <vt:lpstr>n</vt:lpstr>
      <vt:lpstr>N_1</vt:lpstr>
      <vt:lpstr>N_3</vt:lpstr>
      <vt:lpstr>R_Squared</vt:lpstr>
      <vt:lpstr>s</vt:lpstr>
      <vt:lpstr>SSM</vt:lpstr>
      <vt:lpstr>SST</vt:lpstr>
      <vt:lpstr>t_crit</vt:lpstr>
      <vt:lpstr>X</vt:lpstr>
      <vt:lpstr>XTX</vt:lpstr>
      <vt:lpstr>XTX_2</vt:lpstr>
      <vt:lpstr>XTX_3</vt:lpstr>
      <vt:lpstr>XTX_4</vt:lpstr>
      <vt:lpstr>XTy</vt:lpstr>
      <vt:lpstr>y_hat_star</vt:lpstr>
      <vt:lpstr>y_max</vt:lpstr>
      <vt:lpstr>y_min</vt:lpstr>
      <vt:lpstr>y_star</vt:lpstr>
      <vt:lpstr>Δ_2</vt:lpstr>
      <vt:lpstr>Δ_3</vt:lpstr>
      <vt:lpstr>Δ_4</vt:lpstr>
      <vt:lpstr>Δ_j</vt:lpstr>
      <vt:lpstr>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Colannino</dc:creator>
  <cp:lastModifiedBy>Joseph Colannino</cp:lastModifiedBy>
  <dcterms:created xsi:type="dcterms:W3CDTF">2026-02-18T23:19:31Z</dcterms:created>
  <dcterms:modified xsi:type="dcterms:W3CDTF">2026-04-10T22:01:39Z</dcterms:modified>
</cp:coreProperties>
</file>